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Робоча  ПАПКА\Аналіз виконання  б-ту по видатках\2021\На сайт\01.09.21\"/>
    </mc:Choice>
  </mc:AlternateContent>
  <bookViews>
    <workbookView xWindow="0" yWindow="0" windowWidth="28800" windowHeight="11685"/>
  </bookViews>
  <sheets>
    <sheet name="2021" sheetId="22" r:id="rId1"/>
  </sheets>
  <definedNames>
    <definedName name="Print_Area" localSheetId="0">'2021'!$A$1:$Y$118</definedName>
    <definedName name="Print_Titles" localSheetId="0">'2021'!$3:$5</definedName>
    <definedName name="_xlnm.Print_Titles" localSheetId="0">'2021'!$3:$5</definedName>
    <definedName name="_xlnm.Print_Area" localSheetId="0">'2021'!$A$1:$Y$137</definedName>
  </definedNames>
  <calcPr calcId="152511"/>
</workbook>
</file>

<file path=xl/calcChain.xml><?xml version="1.0" encoding="utf-8"?>
<calcChain xmlns="http://schemas.openxmlformats.org/spreadsheetml/2006/main">
  <c r="F52" i="22" l="1"/>
  <c r="X52" i="22" s="1"/>
  <c r="F53" i="22"/>
  <c r="X53" i="22" s="1"/>
  <c r="F54" i="22"/>
  <c r="X54" i="22" s="1"/>
  <c r="N65" i="22"/>
  <c r="N64" i="22"/>
  <c r="M104" i="22"/>
  <c r="M103" i="22"/>
  <c r="M87" i="22"/>
  <c r="M80" i="22"/>
  <c r="M94" i="22" s="1"/>
  <c r="M75" i="22"/>
  <c r="M73" i="22"/>
  <c r="M63" i="22"/>
  <c r="M76" i="22" s="1"/>
  <c r="M33" i="22"/>
  <c r="M18" i="22"/>
  <c r="M14" i="22"/>
  <c r="M9" i="22"/>
  <c r="M102" i="22" l="1"/>
  <c r="M47" i="22"/>
  <c r="M108" i="22" s="1"/>
  <c r="Q54" i="22"/>
  <c r="Q53" i="22"/>
  <c r="M113" i="22"/>
  <c r="M74" i="22"/>
  <c r="M71" i="22" s="1"/>
  <c r="M78" i="22" s="1"/>
  <c r="Q52" i="22"/>
  <c r="M112" i="22"/>
  <c r="M106" i="22"/>
  <c r="S99" i="22"/>
  <c r="S100" i="22"/>
  <c r="F100" i="22"/>
  <c r="F99" i="22"/>
  <c r="E98" i="22"/>
  <c r="M111" i="22" l="1"/>
  <c r="X99" i="22"/>
  <c r="R99" i="22"/>
  <c r="O99" i="22"/>
  <c r="U99" i="22"/>
  <c r="Q100" i="22"/>
  <c r="O100" i="22"/>
  <c r="R100" i="22"/>
  <c r="U100" i="22"/>
  <c r="M110" i="22"/>
  <c r="M115" i="22"/>
  <c r="M125" i="22" s="1"/>
  <c r="T100" i="22"/>
  <c r="T99" i="22"/>
  <c r="Q99" i="22"/>
  <c r="X100" i="22"/>
  <c r="E67" i="22"/>
  <c r="S93" i="22"/>
  <c r="S91" i="22"/>
  <c r="S90" i="22"/>
  <c r="S89" i="22"/>
  <c r="S88" i="22"/>
  <c r="S86" i="22"/>
  <c r="S85" i="22"/>
  <c r="S84" i="22"/>
  <c r="S83" i="22"/>
  <c r="S81" i="22"/>
  <c r="S52" i="22"/>
  <c r="T52" i="22" s="1"/>
  <c r="S53" i="22"/>
  <c r="T53" i="22" s="1"/>
  <c r="S54" i="22"/>
  <c r="T54" i="22" s="1"/>
  <c r="S46" i="22"/>
  <c r="S45" i="22"/>
  <c r="S44" i="22"/>
  <c r="S43" i="22"/>
  <c r="S42" i="22"/>
  <c r="S40" i="22"/>
  <c r="S39" i="22"/>
  <c r="S38" i="22"/>
  <c r="S37" i="22"/>
  <c r="S36" i="22"/>
  <c r="S35" i="22"/>
  <c r="S34" i="22"/>
  <c r="S32" i="22"/>
  <c r="S31" i="22"/>
  <c r="S30" i="22"/>
  <c r="S29" i="22"/>
  <c r="S28" i="22"/>
  <c r="S26" i="22"/>
  <c r="S25" i="22"/>
  <c r="S24" i="22"/>
  <c r="S23" i="22"/>
  <c r="S22" i="22"/>
  <c r="S19" i="22"/>
  <c r="S17" i="22"/>
  <c r="S16" i="22"/>
  <c r="S15" i="22"/>
  <c r="S12" i="22"/>
  <c r="S11" i="22"/>
  <c r="S8" i="22"/>
  <c r="S7" i="22"/>
  <c r="W63" i="22"/>
  <c r="W76" i="22" s="1"/>
  <c r="P104" i="22" l="1"/>
  <c r="H104" i="22"/>
  <c r="I104" i="22"/>
  <c r="J104" i="22"/>
  <c r="K104" i="22"/>
  <c r="L104" i="22"/>
  <c r="N104" i="22"/>
  <c r="G104" i="22"/>
  <c r="D104" i="22"/>
  <c r="E104" i="22"/>
  <c r="F15" i="22" l="1"/>
  <c r="F13" i="22"/>
  <c r="F12" i="22"/>
  <c r="F11" i="22"/>
  <c r="F10" i="22"/>
  <c r="F8" i="22"/>
  <c r="F7" i="22"/>
  <c r="L103" i="22"/>
  <c r="L102" i="22" s="1"/>
  <c r="L87" i="22"/>
  <c r="L80" i="22"/>
  <c r="L94" i="22" s="1"/>
  <c r="L75" i="22"/>
  <c r="L73" i="22"/>
  <c r="L63" i="22"/>
  <c r="L33" i="22"/>
  <c r="L18" i="22"/>
  <c r="L14" i="22"/>
  <c r="L9" i="22"/>
  <c r="L76" i="22" l="1"/>
  <c r="L113" i="22" s="1"/>
  <c r="L47" i="22"/>
  <c r="L108" i="22" s="1"/>
  <c r="L74" i="22"/>
  <c r="L71" i="22" s="1"/>
  <c r="L110" i="22" s="1"/>
  <c r="L112" i="22"/>
  <c r="L106" i="22"/>
  <c r="L111" i="22" l="1"/>
  <c r="L115" i="22"/>
  <c r="L125" i="22" s="1"/>
  <c r="L78" i="22"/>
  <c r="S97" i="22"/>
  <c r="S92" i="22"/>
  <c r="F92" i="22"/>
  <c r="Q92" i="22" s="1"/>
  <c r="F97" i="22"/>
  <c r="T97" i="22" l="1"/>
  <c r="Y97" i="22"/>
  <c r="O97" i="22"/>
  <c r="U97" i="22"/>
  <c r="R97" i="22"/>
  <c r="Q97" i="22"/>
  <c r="T92" i="22"/>
  <c r="E41" i="22"/>
  <c r="S41" i="22" s="1"/>
  <c r="E27" i="22"/>
  <c r="S27" i="22" s="1"/>
  <c r="E21" i="22"/>
  <c r="S21" i="22" s="1"/>
  <c r="E20" i="22"/>
  <c r="S20" i="22" s="1"/>
  <c r="E13" i="22"/>
  <c r="S13" i="22" s="1"/>
  <c r="E10" i="22"/>
  <c r="S10" i="22" s="1"/>
  <c r="W104" i="22" l="1"/>
  <c r="X97" i="22"/>
  <c r="A97" i="22"/>
  <c r="A98" i="22" s="1"/>
  <c r="W87" i="22"/>
  <c r="X92" i="22"/>
  <c r="K103" i="22" l="1"/>
  <c r="K102" i="22" s="1"/>
  <c r="K87" i="22"/>
  <c r="K80" i="22"/>
  <c r="K94" i="22" s="1"/>
  <c r="K75" i="22"/>
  <c r="K73" i="22"/>
  <c r="K65" i="22"/>
  <c r="K64" i="22"/>
  <c r="K33" i="22"/>
  <c r="K18" i="22"/>
  <c r="K14" i="22"/>
  <c r="K9" i="22"/>
  <c r="K63" i="22" l="1"/>
  <c r="K112" i="22"/>
  <c r="K47" i="22"/>
  <c r="K106" i="22"/>
  <c r="K76" i="22" l="1"/>
  <c r="K74" i="22" s="1"/>
  <c r="K71" i="22" s="1"/>
  <c r="K110" i="22" s="1"/>
  <c r="K108" i="22"/>
  <c r="E9" i="22"/>
  <c r="S9" i="22" s="1"/>
  <c r="N63" i="22"/>
  <c r="N76" i="22" s="1"/>
  <c r="K115" i="22" l="1"/>
  <c r="K125" i="22" s="1"/>
  <c r="K78" i="22"/>
  <c r="K113" i="22"/>
  <c r="K111" i="22" s="1"/>
  <c r="S50" i="22"/>
  <c r="J103" i="22"/>
  <c r="J102" i="22" s="1"/>
  <c r="J87" i="22"/>
  <c r="J80" i="22"/>
  <c r="J94" i="22" s="1"/>
  <c r="J75" i="22"/>
  <c r="J73" i="22"/>
  <c r="J63" i="22"/>
  <c r="J33" i="22"/>
  <c r="J18" i="22"/>
  <c r="J14" i="22"/>
  <c r="J9" i="22"/>
  <c r="P75" i="22"/>
  <c r="N75" i="22"/>
  <c r="I75" i="22"/>
  <c r="H75" i="22"/>
  <c r="G75" i="22"/>
  <c r="E75" i="22"/>
  <c r="F50" i="22"/>
  <c r="S57" i="22"/>
  <c r="F57" i="22"/>
  <c r="S61" i="22"/>
  <c r="F61" i="22"/>
  <c r="X61" i="22" s="1"/>
  <c r="A62" i="22"/>
  <c r="A63" i="22" s="1"/>
  <c r="X57" i="22" l="1"/>
  <c r="O57" i="22"/>
  <c r="R57" i="22"/>
  <c r="Y57" i="22"/>
  <c r="U57" i="22"/>
  <c r="J76" i="22"/>
  <c r="J113" i="22" s="1"/>
  <c r="T50" i="22"/>
  <c r="X50" i="22"/>
  <c r="R50" i="22"/>
  <c r="O50" i="22"/>
  <c r="U50" i="22"/>
  <c r="Q50" i="22"/>
  <c r="J47" i="22"/>
  <c r="J108" i="22" s="1"/>
  <c r="J112" i="22"/>
  <c r="J106" i="22"/>
  <c r="T61" i="22"/>
  <c r="T57" i="22"/>
  <c r="Q57" i="22"/>
  <c r="J111" i="22" l="1"/>
  <c r="J74" i="22"/>
  <c r="J71" i="22" s="1"/>
  <c r="J110" i="22" s="1"/>
  <c r="J115" i="22" s="1"/>
  <c r="J125" i="22" s="1"/>
  <c r="J78" i="22" l="1"/>
  <c r="S69" i="22"/>
  <c r="F69" i="22"/>
  <c r="D63" i="22"/>
  <c r="U69" i="22" l="1"/>
  <c r="O69" i="22"/>
  <c r="X69" i="22"/>
  <c r="R69" i="22"/>
  <c r="T69" i="22"/>
  <c r="Q69" i="22"/>
  <c r="I103" i="22" l="1"/>
  <c r="I87" i="22"/>
  <c r="I80" i="22"/>
  <c r="I94" i="22" s="1"/>
  <c r="I73" i="22"/>
  <c r="I63" i="22"/>
  <c r="I76" i="22" s="1"/>
  <c r="I33" i="22"/>
  <c r="I18" i="22"/>
  <c r="I14" i="22"/>
  <c r="I9" i="22"/>
  <c r="I74" i="22" l="1"/>
  <c r="I71" i="22" s="1"/>
  <c r="I112" i="22"/>
  <c r="I102" i="22"/>
  <c r="I106" i="22" s="1"/>
  <c r="I113" i="22"/>
  <c r="I47" i="22"/>
  <c r="I110" i="22" l="1"/>
  <c r="I111" i="22"/>
  <c r="I108" i="22"/>
  <c r="I78" i="22"/>
  <c r="S98" i="22"/>
  <c r="S67" i="22"/>
  <c r="F43" i="22"/>
  <c r="T43" i="22" s="1"/>
  <c r="F32" i="22"/>
  <c r="H103" i="22"/>
  <c r="H87" i="22"/>
  <c r="H80" i="22"/>
  <c r="H94" i="22" s="1"/>
  <c r="H73" i="22"/>
  <c r="H63" i="22"/>
  <c r="H33" i="22"/>
  <c r="H18" i="22"/>
  <c r="H14" i="22"/>
  <c r="H9" i="22"/>
  <c r="F98" i="22"/>
  <c r="F67" i="22"/>
  <c r="X98" i="22" l="1"/>
  <c r="R98" i="22"/>
  <c r="O98" i="22"/>
  <c r="U98" i="22"/>
  <c r="H76" i="22"/>
  <c r="H74" i="22" s="1"/>
  <c r="H71" i="22" s="1"/>
  <c r="Q67" i="22"/>
  <c r="Y67" i="22"/>
  <c r="I115" i="22"/>
  <c r="I125" i="22" s="1"/>
  <c r="O32" i="22"/>
  <c r="U32" i="22"/>
  <c r="T32" i="22"/>
  <c r="R32" i="22"/>
  <c r="H102" i="22"/>
  <c r="H112" i="22"/>
  <c r="Q98" i="22"/>
  <c r="X43" i="22"/>
  <c r="X67" i="22"/>
  <c r="Q43" i="22"/>
  <c r="O67" i="22"/>
  <c r="X32" i="22"/>
  <c r="H47" i="22"/>
  <c r="H108" i="22" s="1"/>
  <c r="T98" i="22"/>
  <c r="T67" i="22"/>
  <c r="U67" i="22"/>
  <c r="R67" i="22"/>
  <c r="Q32" i="22"/>
  <c r="H113" i="22" l="1"/>
  <c r="H111" i="22" s="1"/>
  <c r="H110" i="22"/>
  <c r="H115" i="22"/>
  <c r="H125" i="22" s="1"/>
  <c r="H106" i="22"/>
  <c r="H78" i="22"/>
  <c r="A25" i="22" l="1"/>
  <c r="P103" i="22" l="1"/>
  <c r="P102" i="22" s="1"/>
  <c r="W9" i="22" l="1"/>
  <c r="P9" i="22"/>
  <c r="N9" i="22"/>
  <c r="G9" i="22"/>
  <c r="N33" i="22"/>
  <c r="N18" i="22"/>
  <c r="N14" i="22"/>
  <c r="N113" i="22"/>
  <c r="N73" i="22"/>
  <c r="N80" i="22"/>
  <c r="N94" i="22" s="1"/>
  <c r="N87" i="22"/>
  <c r="N103" i="22"/>
  <c r="F104" i="22"/>
  <c r="F96" i="22"/>
  <c r="F93" i="22"/>
  <c r="F91" i="22"/>
  <c r="F90" i="22"/>
  <c r="R90" i="22" s="1"/>
  <c r="F89" i="22"/>
  <c r="F88" i="22"/>
  <c r="F86" i="22"/>
  <c r="Y86" i="22" s="1"/>
  <c r="F85" i="22"/>
  <c r="Y85" i="22" s="1"/>
  <c r="F84" i="22"/>
  <c r="F83" i="22"/>
  <c r="F82" i="22"/>
  <c r="F81" i="22"/>
  <c r="F68" i="22"/>
  <c r="F66" i="22"/>
  <c r="Y66" i="22" s="1"/>
  <c r="F65" i="22"/>
  <c r="Y65" i="22" s="1"/>
  <c r="F64" i="22"/>
  <c r="Y64" i="22" s="1"/>
  <c r="F62" i="22"/>
  <c r="Y62" i="22" s="1"/>
  <c r="F60" i="22"/>
  <c r="F59" i="22"/>
  <c r="F56" i="22"/>
  <c r="Y56" i="22" s="1"/>
  <c r="F55" i="22"/>
  <c r="F51" i="22"/>
  <c r="F49" i="22"/>
  <c r="F48" i="22"/>
  <c r="F46" i="22"/>
  <c r="F45" i="22"/>
  <c r="Y45" i="22" s="1"/>
  <c r="F44" i="22"/>
  <c r="F42" i="22"/>
  <c r="F41" i="22"/>
  <c r="R41" i="22" s="1"/>
  <c r="F40" i="22"/>
  <c r="R40" i="22" s="1"/>
  <c r="F39" i="22"/>
  <c r="F38" i="22"/>
  <c r="F37" i="22"/>
  <c r="F36" i="22"/>
  <c r="F35" i="22"/>
  <c r="F34" i="22"/>
  <c r="F31" i="22"/>
  <c r="F30" i="22"/>
  <c r="F29" i="22"/>
  <c r="F28" i="22"/>
  <c r="F27" i="22"/>
  <c r="F26" i="22"/>
  <c r="F25" i="22"/>
  <c r="Y25" i="22" s="1"/>
  <c r="F24" i="22"/>
  <c r="F23" i="22"/>
  <c r="F22" i="22"/>
  <c r="F21" i="22"/>
  <c r="F20" i="22"/>
  <c r="F19" i="22"/>
  <c r="F17" i="22"/>
  <c r="F16" i="22"/>
  <c r="U11" i="22"/>
  <c r="Y96" i="22" l="1"/>
  <c r="R96" i="22"/>
  <c r="Y104" i="22"/>
  <c r="O104" i="22"/>
  <c r="R104" i="22"/>
  <c r="F9" i="22"/>
  <c r="Y88" i="22"/>
  <c r="R88" i="22"/>
  <c r="R84" i="22"/>
  <c r="Y84" i="22"/>
  <c r="U40" i="22"/>
  <c r="O40" i="22"/>
  <c r="O10" i="22"/>
  <c r="U10" i="22"/>
  <c r="X10" i="22"/>
  <c r="R10" i="22"/>
  <c r="R89" i="22"/>
  <c r="O89" i="22"/>
  <c r="U89" i="22"/>
  <c r="R27" i="22"/>
  <c r="Y27" i="22"/>
  <c r="Y15" i="22"/>
  <c r="R15" i="22"/>
  <c r="Y16" i="22"/>
  <c r="R16" i="22"/>
  <c r="N47" i="22"/>
  <c r="Q24" i="22"/>
  <c r="T24" i="22"/>
  <c r="Y11" i="22"/>
  <c r="R11" i="22"/>
  <c r="R13" i="22"/>
  <c r="Y13" i="22"/>
  <c r="Q10" i="22"/>
  <c r="T10" i="22"/>
  <c r="N112" i="22"/>
  <c r="N111" i="22" s="1"/>
  <c r="N74" i="22"/>
  <c r="N102" i="22"/>
  <c r="N106" i="22" s="1"/>
  <c r="X24" i="22"/>
  <c r="N108" i="22" l="1"/>
  <c r="N71" i="22"/>
  <c r="S62" i="22"/>
  <c r="S48" i="22"/>
  <c r="W18" i="22"/>
  <c r="X62" i="22"/>
  <c r="P18" i="22"/>
  <c r="G18" i="22"/>
  <c r="F18" i="22" s="1"/>
  <c r="G103" i="22"/>
  <c r="F103" i="22" s="1"/>
  <c r="R103" i="22" s="1"/>
  <c r="E103" i="22"/>
  <c r="E102" i="22" s="1"/>
  <c r="P73" i="22"/>
  <c r="F75" i="22"/>
  <c r="G73" i="22"/>
  <c r="F73" i="22" s="1"/>
  <c r="E73" i="22"/>
  <c r="P63" i="22"/>
  <c r="G63" i="22"/>
  <c r="E63" i="22"/>
  <c r="E33" i="22"/>
  <c r="S33" i="22" s="1"/>
  <c r="E18" i="22"/>
  <c r="S18" i="22" s="1"/>
  <c r="E14" i="22"/>
  <c r="S14" i="22" s="1"/>
  <c r="F63" i="22" l="1"/>
  <c r="G102" i="22"/>
  <c r="F102" i="22" s="1"/>
  <c r="S47" i="22"/>
  <c r="E47" i="22"/>
  <c r="S125" i="22" s="1"/>
  <c r="N78" i="22"/>
  <c r="N110" i="22"/>
  <c r="G112" i="22"/>
  <c r="F112" i="22" s="1"/>
  <c r="U62" i="22"/>
  <c r="R62" i="22"/>
  <c r="O62" i="22"/>
  <c r="Q62" i="22"/>
  <c r="T62" i="22"/>
  <c r="P112" i="22"/>
  <c r="N115" i="22" l="1"/>
  <c r="N125" i="22" s="1"/>
  <c r="D58" i="22" l="1"/>
  <c r="D76" i="22" s="1"/>
  <c r="G58" i="22"/>
  <c r="P58" i="22"/>
  <c r="P76" i="22" s="1"/>
  <c r="Q59" i="22"/>
  <c r="S59" i="22"/>
  <c r="E60" i="22"/>
  <c r="S60" i="22"/>
  <c r="AB60" i="22"/>
  <c r="D21" i="22"/>
  <c r="D19" i="22"/>
  <c r="F58" i="22" l="1"/>
  <c r="F76" i="22" s="1"/>
  <c r="G76" i="22"/>
  <c r="E58" i="22"/>
  <c r="S58" i="22"/>
  <c r="Q60" i="22"/>
  <c r="X59" i="22"/>
  <c r="X60" i="22"/>
  <c r="T60" i="22"/>
  <c r="T59" i="22"/>
  <c r="D18" i="22"/>
  <c r="X58" i="22" l="1"/>
  <c r="E76" i="22"/>
  <c r="E74" i="22" s="1"/>
  <c r="E71" i="22" s="1"/>
  <c r="E78" i="22" s="1"/>
  <c r="P74" i="22"/>
  <c r="P71" i="22" s="1"/>
  <c r="P110" i="22" s="1"/>
  <c r="P113" i="22"/>
  <c r="P111" i="22" s="1"/>
  <c r="Q58" i="22"/>
  <c r="G74" i="22"/>
  <c r="G113" i="22"/>
  <c r="T58" i="22"/>
  <c r="G71" i="22" l="1"/>
  <c r="F74" i="22"/>
  <c r="G111" i="22"/>
  <c r="F111" i="22" s="1"/>
  <c r="F113" i="22"/>
  <c r="W103" i="22"/>
  <c r="Y103" i="22" s="1"/>
  <c r="W80" i="22"/>
  <c r="W94" i="22" s="1"/>
  <c r="W75" i="22"/>
  <c r="W73" i="22"/>
  <c r="W33" i="22"/>
  <c r="W14" i="22"/>
  <c r="W47" i="22" l="1"/>
  <c r="G110" i="22"/>
  <c r="F110" i="22" s="1"/>
  <c r="F71" i="22"/>
  <c r="W113" i="22"/>
  <c r="W102" i="22"/>
  <c r="W74" i="22"/>
  <c r="W71" i="22" s="1"/>
  <c r="W112" i="22"/>
  <c r="Z18" i="22"/>
  <c r="Z15" i="22"/>
  <c r="W106" i="22" l="1"/>
  <c r="AA106" i="22" s="1"/>
  <c r="Y102" i="22"/>
  <c r="W78" i="22"/>
  <c r="W111" i="22"/>
  <c r="W110" i="22"/>
  <c r="W108" i="22"/>
  <c r="W115" i="22" l="1"/>
  <c r="D103" i="22"/>
  <c r="D102" i="22" s="1"/>
  <c r="S96" i="22"/>
  <c r="S103" i="22" s="1"/>
  <c r="Q91" i="22"/>
  <c r="Q90" i="22"/>
  <c r="P87" i="22"/>
  <c r="G87" i="22"/>
  <c r="F87" i="22" s="1"/>
  <c r="D87" i="22"/>
  <c r="Q85" i="22"/>
  <c r="Q83" i="22"/>
  <c r="A84" i="22"/>
  <c r="A85" i="22" s="1"/>
  <c r="A86" i="22" s="1"/>
  <c r="A87" i="22" s="1"/>
  <c r="Y82" i="22"/>
  <c r="X81" i="22"/>
  <c r="S80" i="22"/>
  <c r="P80" i="22"/>
  <c r="P94" i="22" s="1"/>
  <c r="G80" i="22"/>
  <c r="F80" i="22" s="1"/>
  <c r="D80" i="22"/>
  <c r="D94" i="22" s="1"/>
  <c r="D75" i="22"/>
  <c r="D73" i="22"/>
  <c r="S68" i="22"/>
  <c r="S66" i="22"/>
  <c r="X66" i="22"/>
  <c r="S65" i="22"/>
  <c r="Q65" i="22"/>
  <c r="S64" i="22"/>
  <c r="X64" i="22"/>
  <c r="AA63" i="22"/>
  <c r="S56" i="22"/>
  <c r="Q56" i="22"/>
  <c r="S55" i="22"/>
  <c r="R55" i="22"/>
  <c r="S51" i="22"/>
  <c r="S73" i="22" s="1"/>
  <c r="Q51" i="22"/>
  <c r="S49" i="22"/>
  <c r="S75" i="22" s="1"/>
  <c r="R48" i="22"/>
  <c r="A49" i="22"/>
  <c r="O45" i="22"/>
  <c r="O42" i="22"/>
  <c r="X41" i="22"/>
  <c r="X40" i="22"/>
  <c r="R39" i="22"/>
  <c r="A39" i="22"/>
  <c r="A40" i="22" s="1"/>
  <c r="A41" i="22" s="1"/>
  <c r="Q38" i="22"/>
  <c r="R36" i="22"/>
  <c r="O35" i="22"/>
  <c r="Y34" i="22"/>
  <c r="Z34" i="22" s="1"/>
  <c r="P33" i="22"/>
  <c r="G33" i="22"/>
  <c r="F33" i="22" s="1"/>
  <c r="D33" i="22"/>
  <c r="Y31" i="22"/>
  <c r="O26" i="22"/>
  <c r="R25" i="22"/>
  <c r="A26" i="22"/>
  <c r="A27" i="22" s="1"/>
  <c r="A28" i="22" s="1"/>
  <c r="A29" i="22" s="1"/>
  <c r="A30" i="22" s="1"/>
  <c r="A31" i="22" s="1"/>
  <c r="A32" i="22" s="1"/>
  <c r="A33" i="22" s="1"/>
  <c r="R23" i="22"/>
  <c r="O22" i="22"/>
  <c r="Y21" i="22"/>
  <c r="Z21" i="22" s="1"/>
  <c r="P14" i="22"/>
  <c r="G14" i="22"/>
  <c r="D14" i="22"/>
  <c r="D9" i="22"/>
  <c r="AB8" i="22"/>
  <c r="AC8" i="22" s="1"/>
  <c r="Y8" i="22"/>
  <c r="A8" i="22"/>
  <c r="AC7" i="22"/>
  <c r="AB7" i="22"/>
  <c r="C5" i="22"/>
  <c r="D5" i="22" s="1"/>
  <c r="F5" i="22" s="1"/>
  <c r="G5" i="22" s="1"/>
  <c r="H5" i="22" s="1"/>
  <c r="I5" i="22" s="1"/>
  <c r="J5" i="22" s="1"/>
  <c r="K5" i="22" s="1"/>
  <c r="L5" i="22" s="1"/>
  <c r="M5" i="22" l="1"/>
  <c r="N5" i="22" s="1"/>
  <c r="Q5" i="22" s="1"/>
  <c r="R5" i="22" s="1"/>
  <c r="S5" i="22" s="1"/>
  <c r="T5" i="22" s="1"/>
  <c r="U5" i="22" s="1"/>
  <c r="X5" i="22" s="1"/>
  <c r="Y5" i="22" s="1"/>
  <c r="A50" i="22"/>
  <c r="A51" i="22" s="1"/>
  <c r="A52" i="22" s="1"/>
  <c r="A53" i="22" s="1"/>
  <c r="A54" i="22" s="1"/>
  <c r="A55" i="22" s="1"/>
  <c r="P47" i="22"/>
  <c r="A42" i="22"/>
  <c r="A43" i="22" s="1"/>
  <c r="A44" i="22" s="1"/>
  <c r="A45" i="22" s="1"/>
  <c r="A46" i="22" s="1"/>
  <c r="F14" i="22"/>
  <c r="Y14" i="22" s="1"/>
  <c r="G47" i="22"/>
  <c r="F47" i="22" s="1"/>
  <c r="D112" i="22"/>
  <c r="T83" i="22"/>
  <c r="P106" i="22"/>
  <c r="S112" i="22"/>
  <c r="T7" i="22"/>
  <c r="O7" i="22"/>
  <c r="Q7" i="22"/>
  <c r="U96" i="22"/>
  <c r="Q9" i="22"/>
  <c r="U88" i="22"/>
  <c r="D47" i="22"/>
  <c r="D108" i="22" s="1"/>
  <c r="T38" i="22"/>
  <c r="Q82" i="22"/>
  <c r="T82" i="22"/>
  <c r="X82" i="22"/>
  <c r="O84" i="22"/>
  <c r="T90" i="22"/>
  <c r="T93" i="22"/>
  <c r="R21" i="22"/>
  <c r="Y83" i="22"/>
  <c r="O20" i="22"/>
  <c r="U22" i="22"/>
  <c r="U45" i="22"/>
  <c r="Y48" i="22"/>
  <c r="U7" i="22"/>
  <c r="X21" i="22"/>
  <c r="AB23" i="22"/>
  <c r="U31" i="22"/>
  <c r="O88" i="22"/>
  <c r="T13" i="22"/>
  <c r="T21" i="22"/>
  <c r="R22" i="22"/>
  <c r="Y81" i="22"/>
  <c r="R83" i="22"/>
  <c r="Q21" i="22"/>
  <c r="T25" i="22"/>
  <c r="T28" i="22"/>
  <c r="O34" i="22"/>
  <c r="O48" i="22"/>
  <c r="X83" i="22"/>
  <c r="O38" i="22"/>
  <c r="T51" i="22"/>
  <c r="Q64" i="22"/>
  <c r="O13" i="22"/>
  <c r="Y38" i="22"/>
  <c r="U41" i="22"/>
  <c r="X55" i="22"/>
  <c r="R64" i="22"/>
  <c r="Q13" i="22"/>
  <c r="T29" i="22"/>
  <c r="T64" i="22"/>
  <c r="T49" i="22"/>
  <c r="X13" i="22"/>
  <c r="Y23" i="22"/>
  <c r="U27" i="22"/>
  <c r="U36" i="22"/>
  <c r="R38" i="22"/>
  <c r="O65" i="22"/>
  <c r="Q26" i="22"/>
  <c r="Y26" i="22"/>
  <c r="Q35" i="22"/>
  <c r="T37" i="22"/>
  <c r="Q40" i="22"/>
  <c r="Y55" i="22"/>
  <c r="T12" i="22"/>
  <c r="T33" i="22"/>
  <c r="Q34" i="22"/>
  <c r="Q23" i="22"/>
  <c r="R34" i="22"/>
  <c r="Q42" i="22"/>
  <c r="Q49" i="22"/>
  <c r="U64" i="22"/>
  <c r="T65" i="22"/>
  <c r="Y73" i="22"/>
  <c r="AA15" i="22"/>
  <c r="O21" i="22"/>
  <c r="O25" i="22"/>
  <c r="T26" i="22"/>
  <c r="U29" i="22"/>
  <c r="U34" i="22"/>
  <c r="T35" i="22"/>
  <c r="Y39" i="22"/>
  <c r="Z39" i="22" s="1"/>
  <c r="O41" i="22"/>
  <c r="U42" i="22"/>
  <c r="T55" i="22"/>
  <c r="U65" i="22"/>
  <c r="E80" i="22"/>
  <c r="Q88" i="22"/>
  <c r="U90" i="22"/>
  <c r="T91" i="22"/>
  <c r="Q55" i="22"/>
  <c r="X39" i="22"/>
  <c r="U46" i="22"/>
  <c r="Y49" i="22"/>
  <c r="O96" i="22"/>
  <c r="U19" i="22"/>
  <c r="AA18" i="22"/>
  <c r="U23" i="22"/>
  <c r="U26" i="22"/>
  <c r="O29" i="22"/>
  <c r="T31" i="22"/>
  <c r="U35" i="22"/>
  <c r="T40" i="22"/>
  <c r="U55" i="22"/>
  <c r="X90" i="22"/>
  <c r="X35" i="22"/>
  <c r="O30" i="22"/>
  <c r="X26" i="22"/>
  <c r="Y35" i="22"/>
  <c r="Z35" i="22" s="1"/>
  <c r="Q39" i="22"/>
  <c r="S63" i="22"/>
  <c r="S76" i="22" s="1"/>
  <c r="T17" i="22"/>
  <c r="U20" i="22"/>
  <c r="R26" i="22"/>
  <c r="R35" i="22"/>
  <c r="O37" i="22"/>
  <c r="X49" i="22"/>
  <c r="O56" i="22"/>
  <c r="O85" i="22"/>
  <c r="X88" i="22"/>
  <c r="Q93" i="22"/>
  <c r="T11" i="22"/>
  <c r="AD47" i="22"/>
  <c r="T39" i="22"/>
  <c r="U39" i="22"/>
  <c r="U16" i="22"/>
  <c r="T16" i="22"/>
  <c r="Y33" i="22"/>
  <c r="R33" i="22"/>
  <c r="Q33" i="22"/>
  <c r="X33" i="22"/>
  <c r="Y87" i="22"/>
  <c r="R87" i="22"/>
  <c r="Q87" i="22"/>
  <c r="X87" i="22"/>
  <c r="U44" i="22"/>
  <c r="Q18" i="22"/>
  <c r="X18" i="22"/>
  <c r="R18" i="22"/>
  <c r="Y18" i="22"/>
  <c r="T15" i="22"/>
  <c r="U15" i="22"/>
  <c r="AA47" i="22"/>
  <c r="AB45" i="22"/>
  <c r="Y30" i="22"/>
  <c r="O44" i="22"/>
  <c r="X12" i="22"/>
  <c r="X17" i="22"/>
  <c r="X7" i="22"/>
  <c r="O8" i="22"/>
  <c r="R12" i="22"/>
  <c r="Y12" i="22"/>
  <c r="Y29" i="22"/>
  <c r="Z29" i="22" s="1"/>
  <c r="O31" i="22"/>
  <c r="T36" i="22"/>
  <c r="Y7" i="22"/>
  <c r="Q8" i="22"/>
  <c r="X8" i="22"/>
  <c r="Q11" i="22"/>
  <c r="X11" i="22"/>
  <c r="U13" i="22"/>
  <c r="X15" i="22"/>
  <c r="Q16" i="22"/>
  <c r="X20" i="22"/>
  <c r="AB21" i="22"/>
  <c r="R29" i="22"/>
  <c r="T30" i="22"/>
  <c r="Q31" i="22"/>
  <c r="R37" i="22"/>
  <c r="Q41" i="22"/>
  <c r="T45" i="22"/>
  <c r="X45" i="22"/>
  <c r="Q46" i="22"/>
  <c r="T66" i="22"/>
  <c r="U66" i="22"/>
  <c r="Q66" i="22"/>
  <c r="O66" i="22"/>
  <c r="T86" i="22"/>
  <c r="O86" i="22"/>
  <c r="Q86" i="22"/>
  <c r="X86" i="22"/>
  <c r="U12" i="22"/>
  <c r="U17" i="22"/>
  <c r="R20" i="22"/>
  <c r="U21" i="22"/>
  <c r="T23" i="22"/>
  <c r="X23" i="22"/>
  <c r="X27" i="22"/>
  <c r="Q27" i="22"/>
  <c r="O28" i="22"/>
  <c r="X36" i="22"/>
  <c r="Q36" i="22"/>
  <c r="Y36" i="22"/>
  <c r="U37" i="22"/>
  <c r="T41" i="22"/>
  <c r="T46" i="22"/>
  <c r="Y51" i="22"/>
  <c r="T56" i="22"/>
  <c r="U83" i="22"/>
  <c r="S94" i="22"/>
  <c r="U86" i="22"/>
  <c r="O12" i="22"/>
  <c r="X30" i="22"/>
  <c r="Q30" i="22"/>
  <c r="Q12" i="22"/>
  <c r="Y19" i="22"/>
  <c r="R19" i="22"/>
  <c r="Q28" i="22"/>
  <c r="R30" i="22"/>
  <c r="X37" i="22"/>
  <c r="T42" i="22"/>
  <c r="Y44" i="22"/>
  <c r="R44" i="22"/>
  <c r="X44" i="22"/>
  <c r="O46" i="22"/>
  <c r="U48" i="22"/>
  <c r="O55" i="22"/>
  <c r="X56" i="22"/>
  <c r="X89" i="22"/>
  <c r="T89" i="22"/>
  <c r="Q89" i="22"/>
  <c r="T22" i="22"/>
  <c r="Y17" i="22"/>
  <c r="Q19" i="22"/>
  <c r="O39" i="22"/>
  <c r="T73" i="22"/>
  <c r="X73" i="22"/>
  <c r="Q73" i="22"/>
  <c r="O17" i="22"/>
  <c r="X28" i="22"/>
  <c r="Q17" i="22"/>
  <c r="O11" i="22"/>
  <c r="O15" i="22"/>
  <c r="R17" i="22"/>
  <c r="T18" i="22"/>
  <c r="T27" i="22"/>
  <c r="Y37" i="22"/>
  <c r="Q44" i="22"/>
  <c r="R7" i="22"/>
  <c r="X16" i="22"/>
  <c r="O19" i="22"/>
  <c r="X19" i="22"/>
  <c r="O16" i="22"/>
  <c r="X29" i="22"/>
  <c r="Q29" i="22"/>
  <c r="Q37" i="22"/>
  <c r="X46" i="22"/>
  <c r="U56" i="22"/>
  <c r="R56" i="22"/>
  <c r="Q15" i="22"/>
  <c r="U25" i="22"/>
  <c r="X25" i="22"/>
  <c r="X31" i="22"/>
  <c r="T81" i="22"/>
  <c r="Q81" i="22"/>
  <c r="O81" i="22"/>
  <c r="R81" i="22"/>
  <c r="D106" i="22"/>
  <c r="R8" i="22"/>
  <c r="T19" i="22"/>
  <c r="Q20" i="22"/>
  <c r="Y20" i="22"/>
  <c r="X22" i="22"/>
  <c r="Q22" i="22"/>
  <c r="Y22" i="22"/>
  <c r="O23" i="22"/>
  <c r="Q25" i="22"/>
  <c r="Z25" i="22"/>
  <c r="O27" i="22"/>
  <c r="U28" i="22"/>
  <c r="U30" i="22"/>
  <c r="R31" i="22"/>
  <c r="X34" i="22"/>
  <c r="O36" i="22"/>
  <c r="U38" i="22"/>
  <c r="X38" i="22"/>
  <c r="Y42" i="22"/>
  <c r="R42" i="22"/>
  <c r="X42" i="22"/>
  <c r="T44" i="22"/>
  <c r="Q45" i="22"/>
  <c r="T48" i="22"/>
  <c r="X48" i="22"/>
  <c r="Q48" i="22"/>
  <c r="X51" i="22"/>
  <c r="R66" i="22"/>
  <c r="U81" i="22"/>
  <c r="X84" i="22"/>
  <c r="Q84" i="22"/>
  <c r="T84" i="22"/>
  <c r="U84" i="22"/>
  <c r="R86" i="22"/>
  <c r="Y89" i="22"/>
  <c r="S87" i="22"/>
  <c r="U87" i="22" s="1"/>
  <c r="T88" i="22"/>
  <c r="Y91" i="22"/>
  <c r="R91" i="22"/>
  <c r="U91" i="22"/>
  <c r="O91" i="22"/>
  <c r="X91" i="22"/>
  <c r="O64" i="22"/>
  <c r="G94" i="22"/>
  <c r="E87" i="22"/>
  <c r="O87" i="22" s="1"/>
  <c r="R65" i="22"/>
  <c r="X65" i="22"/>
  <c r="O83" i="22"/>
  <c r="E112" i="22"/>
  <c r="R85" i="22"/>
  <c r="X85" i="22"/>
  <c r="T96" i="22"/>
  <c r="X96" i="22"/>
  <c r="Q96" i="22"/>
  <c r="Y93" i="22"/>
  <c r="R93" i="22"/>
  <c r="U93" i="22"/>
  <c r="O93" i="22"/>
  <c r="X93" i="22"/>
  <c r="O90" i="22"/>
  <c r="Y90" i="22"/>
  <c r="A56" i="22" l="1"/>
  <c r="A57" i="22" s="1"/>
  <c r="R14" i="22"/>
  <c r="X14" i="22"/>
  <c r="T14" i="22"/>
  <c r="U14" i="22"/>
  <c r="O14" i="22"/>
  <c r="Q14" i="22"/>
  <c r="E94" i="22"/>
  <c r="S127" i="22" s="1"/>
  <c r="G106" i="22"/>
  <c r="F94" i="22"/>
  <c r="R94" i="22" s="1"/>
  <c r="S74" i="22"/>
  <c r="S71" i="22" s="1"/>
  <c r="S78" i="22" s="1"/>
  <c r="G78" i="22"/>
  <c r="F78" i="22" s="1"/>
  <c r="Y9" i="22"/>
  <c r="T9" i="22"/>
  <c r="X9" i="22"/>
  <c r="G108" i="22"/>
  <c r="R9" i="22"/>
  <c r="P78" i="22"/>
  <c r="P108" i="22"/>
  <c r="P115" i="22" s="1"/>
  <c r="P125" i="22" s="1"/>
  <c r="T20" i="22"/>
  <c r="U33" i="22"/>
  <c r="O33" i="22"/>
  <c r="T34" i="22"/>
  <c r="O18" i="22"/>
  <c r="O9" i="22"/>
  <c r="Q103" i="22"/>
  <c r="T103" i="22"/>
  <c r="O103" i="22"/>
  <c r="X103" i="22"/>
  <c r="U103" i="22"/>
  <c r="D113" i="22"/>
  <c r="D111" i="22" s="1"/>
  <c r="D74" i="22"/>
  <c r="D71" i="22" s="1"/>
  <c r="U68" i="22"/>
  <c r="Q68" i="22"/>
  <c r="T68" i="22"/>
  <c r="R68" i="22"/>
  <c r="O68" i="22"/>
  <c r="X68" i="22"/>
  <c r="U18" i="22"/>
  <c r="U9" i="22"/>
  <c r="T87" i="22"/>
  <c r="AA78" i="22"/>
  <c r="O63" i="22"/>
  <c r="Y63" i="22"/>
  <c r="R63" i="22"/>
  <c r="U63" i="22"/>
  <c r="X63" i="22"/>
  <c r="Q63" i="22"/>
  <c r="T63" i="22"/>
  <c r="O47" i="22"/>
  <c r="U75" i="22"/>
  <c r="T75" i="22"/>
  <c r="O75" i="22"/>
  <c r="R75" i="22"/>
  <c r="Q75" i="22"/>
  <c r="X75" i="22"/>
  <c r="Y75" i="22"/>
  <c r="X47" i="22"/>
  <c r="Q47" i="22"/>
  <c r="AA45" i="22"/>
  <c r="AC45" i="22" s="1"/>
  <c r="Y47" i="22"/>
  <c r="R47" i="22"/>
  <c r="T8" i="22"/>
  <c r="U8" i="22"/>
  <c r="T47" i="22"/>
  <c r="S102" i="22"/>
  <c r="S106" i="22" s="1"/>
  <c r="X80" i="22"/>
  <c r="R80" i="22"/>
  <c r="U80" i="22"/>
  <c r="Y80" i="22"/>
  <c r="Q80" i="22"/>
  <c r="O80" i="22"/>
  <c r="T80" i="22"/>
  <c r="R102" i="22"/>
  <c r="T104" i="22"/>
  <c r="T85" i="22"/>
  <c r="U85" i="22"/>
  <c r="F106" i="22" l="1"/>
  <c r="G115" i="22"/>
  <c r="F108" i="22"/>
  <c r="Q108" i="22" s="1"/>
  <c r="S113" i="22"/>
  <c r="S111" i="22" s="1"/>
  <c r="S115" i="22"/>
  <c r="S129" i="22"/>
  <c r="S130" i="22" s="1"/>
  <c r="S128" i="22"/>
  <c r="X104" i="22"/>
  <c r="Q104" i="22"/>
  <c r="S110" i="22"/>
  <c r="T112" i="22"/>
  <c r="Q112" i="22"/>
  <c r="U112" i="22"/>
  <c r="Y112" i="22"/>
  <c r="X112" i="22"/>
  <c r="O112" i="22"/>
  <c r="R112" i="22"/>
  <c r="D110" i="22"/>
  <c r="D115" i="22" s="1"/>
  <c r="D125" i="22" s="1"/>
  <c r="D78" i="22"/>
  <c r="S126" i="22"/>
  <c r="E108" i="22"/>
  <c r="Q102" i="22"/>
  <c r="T102" i="22"/>
  <c r="U102" i="22"/>
  <c r="X102" i="22"/>
  <c r="Y94" i="22"/>
  <c r="O94" i="22"/>
  <c r="Q94" i="22"/>
  <c r="T94" i="22"/>
  <c r="X94" i="22"/>
  <c r="U94" i="22"/>
  <c r="S108" i="22"/>
  <c r="U47" i="22"/>
  <c r="AD78" i="22"/>
  <c r="F115" i="22" l="1"/>
  <c r="F128" i="22" s="1"/>
  <c r="G125" i="22"/>
  <c r="O108" i="22"/>
  <c r="X108" i="22"/>
  <c r="Y108" i="22"/>
  <c r="R108" i="22"/>
  <c r="U108" i="22"/>
  <c r="T108" i="22"/>
  <c r="E113" i="22"/>
  <c r="E111" i="22" s="1"/>
  <c r="T113" i="22"/>
  <c r="Q113" i="22"/>
  <c r="X113" i="22"/>
  <c r="Y113" i="22"/>
  <c r="R113" i="22"/>
  <c r="U113" i="22"/>
  <c r="U76" i="22"/>
  <c r="X76" i="22"/>
  <c r="Q76" i="22"/>
  <c r="T76" i="22"/>
  <c r="Y76" i="22"/>
  <c r="R76" i="22"/>
  <c r="O76" i="22"/>
  <c r="O113" i="22" l="1"/>
  <c r="U74" i="22"/>
  <c r="Y74" i="22"/>
  <c r="R74" i="22"/>
  <c r="O74" i="22"/>
  <c r="X74" i="22"/>
  <c r="T74" i="22"/>
  <c r="Q74" i="22"/>
  <c r="E110" i="22"/>
  <c r="E115" i="22" s="1"/>
  <c r="E106" i="22"/>
  <c r="O102" i="22"/>
  <c r="Y106" i="22"/>
  <c r="R106" i="22"/>
  <c r="T106" i="22"/>
  <c r="X106" i="22"/>
  <c r="Q106" i="22"/>
  <c r="U106" i="22"/>
  <c r="T111" i="22"/>
  <c r="Q111" i="22"/>
  <c r="Y111" i="22"/>
  <c r="R111" i="22"/>
  <c r="O111" i="22"/>
  <c r="U111" i="22"/>
  <c r="X111" i="22"/>
  <c r="E125" i="22" l="1"/>
  <c r="E128" i="22"/>
  <c r="R71" i="22"/>
  <c r="X71" i="22"/>
  <c r="Y71" i="22"/>
  <c r="T71" i="22"/>
  <c r="U71" i="22"/>
  <c r="O71" i="22"/>
  <c r="Q71" i="22"/>
  <c r="T110" i="22"/>
  <c r="Q110" i="22"/>
  <c r="O110" i="22"/>
  <c r="X110" i="22"/>
  <c r="R110" i="22"/>
  <c r="U110" i="22"/>
  <c r="Y110" i="22"/>
  <c r="O106" i="22"/>
  <c r="T115" i="22" l="1"/>
  <c r="Q115" i="22"/>
  <c r="X115" i="22"/>
  <c r="F125" i="22"/>
  <c r="Y115" i="22"/>
  <c r="O115" i="22"/>
  <c r="U115" i="22"/>
  <c r="R115" i="22"/>
  <c r="T78" i="22"/>
  <c r="R78" i="22"/>
  <c r="O78" i="22"/>
  <c r="U78" i="22"/>
  <c r="Y78" i="22"/>
  <c r="X78" i="22"/>
  <c r="Q78" i="22"/>
  <c r="AA115" i="22" l="1"/>
</calcChain>
</file>

<file path=xl/sharedStrings.xml><?xml version="1.0" encoding="utf-8"?>
<sst xmlns="http://schemas.openxmlformats.org/spreadsheetml/2006/main" count="237" uniqueCount="221">
  <si>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</si>
  <si>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</si>
  <si>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</si>
  <si>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</si>
  <si>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</si>
  <si>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</si>
  <si>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</si>
  <si>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</si>
  <si>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</si>
  <si>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</si>
  <si>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</si>
  <si>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</si>
  <si>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</si>
  <si>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</si>
  <si>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</si>
  <si>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</si>
  <si>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</si>
  <si>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</si>
  <si>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</si>
  <si>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</si>
  <si>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</si>
  <si>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</si>
  <si>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</si>
  <si>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</si>
  <si>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</si>
  <si>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</si>
  <si>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</si>
  <si>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</si>
  <si>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</si>
  <si>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</si>
  <si>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</si>
  <si>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</si>
  <si>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</si>
  <si>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</si>
  <si>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</si>
  <si>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</si>
  <si>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</si>
  <si>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</si>
  <si>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</si>
  <si>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</si>
  <si>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</si>
  <si>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</si>
  <si>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</si>
  <si>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</si>
  <si>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</si>
  <si>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Надходження коштів пайової участі у розвитку інфраструктури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</si>
  <si>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</si>
  <si>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</si>
  <si>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</si>
  <si>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</si>
  <si>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</si>
  <si>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</si>
  <si>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</si>
  <si>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</si>
  <si>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</si>
  <si>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</si>
  <si>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41034200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</si>
  <si>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</si>
  <si>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</si>
  <si>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</si>
  <si>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</si>
  <si>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</si>
  <si>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</si>
  <si>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</si>
  <si>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</si>
  <si>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</si>
  <si>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Податок та збір на доходи фізичних осіб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</si>
  <si>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</si>
  <si>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24110900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</si>
  <si>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</si>
  <si>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</si>
  <si>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</si>
  <si>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</si>
  <si>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</si>
  <si>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</si>
  <si>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</si>
  <si>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</si>
  <si>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</si>
  <si>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</si>
  <si>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</si>
  <si>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</si>
  <si>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</si>
  <si>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</si>
  <si>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</si>
  <si>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</si>
  <si>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</si>
  <si>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</si>
  <si>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</si>
  <si>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</si>
  <si>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</si>
  <si>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</si>
  <si>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* для забезпечення витратними матеріалами (кардіовиробами) хворих області в комунальному закладі "Вінницький регіональний клінічний лікувально-діагностичний центр серцево-судинної патології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</si>
  <si>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</si>
  <si>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</si>
  <si>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Начальник відділу доходів бюджету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</si>
  <si>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</si>
  <si>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</si>
  <si>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</si>
  <si>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</si>
  <si>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</si>
  <si>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</si>
  <si>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*на цільові видатки на лікування хворих на цукровий та нецукровий діабет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</si>
  <si>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</si>
  <si>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</si>
  <si>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</si>
  <si>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41051500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</si>
  <si>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</si>
  <si>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</si>
  <si>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</si>
  <si>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</si>
  <si>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</si>
  <si>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</si>
  <si>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</si>
  <si>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</si>
  <si>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</si>
  <si>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</si>
  <si>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</si>
  <si>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</si>
  <si>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</si>
  <si>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</si>
  <si>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</si>
  <si>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</si>
  <si>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</si>
  <si>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</si>
  <si>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</si>
  <si>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</si>
  <si>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</si>
  <si>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</si>
  <si>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</si>
  <si>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</si>
  <si>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</si>
  <si>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r>
      <rPr>
        <b/>
        <u/>
        <sz val="15"/>
        <rFont val="Times New Roman"/>
        <family val="1"/>
        <charset val="204"/>
      </rPr>
      <t>Освітня субвенція з державного бюджету</t>
    </r>
    <r>
      <rPr>
        <sz val="15"/>
        <rFont val="Times New Roman"/>
        <family val="1"/>
        <charset val="204"/>
      </rPr>
      <t xml:space="preserve"> місцевим бюджетам</t>
    </r>
  </si>
  <si>
    <r>
      <rPr>
        <b/>
        <u/>
        <sz val="15"/>
        <rFont val="Times New Roman"/>
        <family val="1"/>
        <charset val="204"/>
      </rPr>
      <t>Медична субвенція з державного бюджету</t>
    </r>
    <r>
      <rPr>
        <sz val="15"/>
        <rFont val="Times New Roman"/>
        <family val="1"/>
        <charset val="204"/>
      </rPr>
      <t xml:space="preserve"> місцевим бюджетам</t>
    </r>
  </si>
  <si>
    <r>
      <rPr>
        <b/>
        <sz val="15"/>
        <rFont val="Times New Roman"/>
        <family val="1"/>
        <charset val="204"/>
      </rPr>
      <t>Дотація з місцевого бюджету</t>
    </r>
    <r>
      <rPr>
        <sz val="15"/>
        <rFont val="Times New Roman"/>
        <family val="1"/>
        <charset val="204"/>
      </rPr>
      <t xml:space="preserve">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  </r>
  </si>
  <si>
    <r>
      <t>Субвенція з місцевого бюджету на здійснення переданих видатків у</t>
    </r>
    <r>
      <rPr>
        <b/>
        <u/>
        <sz val="15"/>
        <rFont val="Times New Roman Cyr"/>
        <charset val="204"/>
      </rPr>
      <t xml:space="preserve"> сфері охорони злоров'я за рахунок коштів медичної субвенції:</t>
    </r>
  </si>
  <si>
    <r>
      <rPr>
        <b/>
        <u/>
        <sz val="15"/>
        <rFont val="Times New Roman Cyr"/>
        <charset val="204"/>
      </rPr>
      <t xml:space="preserve">Інші субвенції </t>
    </r>
    <r>
      <rPr>
        <sz val="15"/>
        <rFont val="Times New Roman Cyr"/>
        <charset val="204"/>
      </rPr>
      <t>з місцевого бюджету</t>
    </r>
  </si>
  <si>
    <t>41055000</t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</si>
  <si>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здійснення переданих видатків у сфері освіти за рахунок коштів освітньої субвенції</t>
    </r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</si>
  <si>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надання державної підтримки особам з особливими освітніми потребами</t>
    </r>
    <r>
      <rPr>
        <sz val="15"/>
        <rFont val="Times New Roman"/>
        <family val="1"/>
        <charset val="204"/>
      </rPr>
      <t xml:space="preserve"> за рахунок відповідної субвенції з державного бюджету</t>
    </r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</si>
  <si>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реформуваннярегіональних систем охорони здоров’я для здійснення заходів з виконання спільного з Міжнародним банком реконструкції та розвитку</t>
    </r>
    <r>
      <rPr>
        <sz val="15"/>
        <rFont val="Times New Roman"/>
        <family val="1"/>
        <charset val="204"/>
      </rPr>
      <t xml:space="preserve"> проекту «Поліпшення охорони здоров’я на службі у людей»</t>
    </r>
  </si>
  <si>
    <t>6.1.</t>
  </si>
  <si>
    <t>6.2.</t>
  </si>
  <si>
    <t>6.3.</t>
  </si>
  <si>
    <t>6.4.</t>
  </si>
  <si>
    <t>Бюджет 
на 2021 рік</t>
  </si>
  <si>
    <t>Уточнений бюджет на 2021 рік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</si>
  <si>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</si>
  <si>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</si>
  <si>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</si>
  <si>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Місцеві податки та збори, що сплачуються (перераховуються) згідно з податковим кодексом України</t>
  </si>
  <si>
    <t>Плата за гарантії, надані Верховною Радою Автономної Республіки Крим, міськими та обласними радами</t>
  </si>
  <si>
    <t>5.1.</t>
  </si>
  <si>
    <t>5.2.</t>
  </si>
  <si>
    <t>5.3.</t>
  </si>
  <si>
    <t>5.4.</t>
  </si>
  <si>
    <t>5.5.</t>
  </si>
  <si>
    <t>ВСЬОГО ДОХОДІВ ЗАГАЛЬНОГО 
ТА СПЕЦІАЛЬНОГО ФОНДІВ</t>
  </si>
  <si>
    <r>
      <t xml:space="preserve">Субвенція з місцевого бюджету </t>
    </r>
    <r>
      <rPr>
        <b/>
        <u/>
        <sz val="15"/>
        <rFont val="Times New Roman Cyr"/>
        <charset val="204"/>
      </rPr>
      <t>на здійснення підтримки окремих закладів та заходів у системі охорони здоров'я</t>
    </r>
    <r>
      <rPr>
        <sz val="15"/>
        <rFont val="Times New Roman Cyr"/>
        <charset val="204"/>
      </rPr>
      <t xml:space="preserve"> за рахунок відповідної субвенції з державного бюджету</t>
    </r>
  </si>
  <si>
    <t>Податки та збори, не віднесені до інших категорій</t>
  </si>
  <si>
    <t>19090500</t>
  </si>
  <si>
    <t>лютий</t>
  </si>
  <si>
    <t>13010100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</si>
  <si>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</si>
  <si>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3.4.</t>
  </si>
  <si>
    <t>Всього власних доходів</t>
  </si>
  <si>
    <t>Власні доходи</t>
  </si>
  <si>
    <t>24061900</t>
  </si>
  <si>
    <t>Кошти, отримані від надання учасниками процедури закупівель як забезпечення їх тендерної пропозиції (пропозиції конкурсних торгів), які не підлягають поверненню цим учасникам</t>
  </si>
  <si>
    <t>березень</t>
  </si>
  <si>
    <t>21082400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</si>
  <si>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</si>
  <si>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15.1.</t>
  </si>
  <si>
    <t>15.2.</t>
  </si>
  <si>
    <t>15.3.</t>
  </si>
  <si>
    <t>15.4.</t>
  </si>
  <si>
    <r>
      <rPr>
        <b/>
        <u/>
        <sz val="15"/>
        <rFont val="Times New Roman Cyr"/>
        <charset val="204"/>
      </rPr>
      <t xml:space="preserve">Інші субвенції </t>
    </r>
    <r>
      <rPr>
        <sz val="15"/>
        <rFont val="Times New Roman Cyr"/>
        <charset val="204"/>
      </rPr>
      <t>з місцевого бюджету (на будівництво мережі каналізації на території приватного сектору квартального комітету «Добробут» мікрорайону «Старе місто» в м.Вінниці)</t>
    </r>
  </si>
  <si>
    <t>квітень</t>
  </si>
  <si>
    <r>
      <t xml:space="preserve">* субвенція з обласного бюджету на відшкодування витрат </t>
    </r>
    <r>
      <rPr>
        <b/>
        <i/>
        <u/>
        <sz val="15"/>
        <rFont val="Times New Roman Cyr"/>
        <charset val="204"/>
      </rPr>
      <t>на поховання учасників бойових дій та осіб з інвалідністю внаслідок війни</t>
    </r>
  </si>
  <si>
    <r>
      <t xml:space="preserve">* субвенція з обласного бюджету на пільгове медичне обслуговування  громадян, які </t>
    </r>
    <r>
      <rPr>
        <b/>
        <i/>
        <u/>
        <sz val="15"/>
        <rFont val="Times New Roman Cyr"/>
        <charset val="204"/>
      </rPr>
      <t>постраждали внаслідок Чорнобильської катастрофи</t>
    </r>
  </si>
  <si>
    <r>
      <t>* субвенція з обласного бюджету на компенсаційні</t>
    </r>
    <r>
      <rPr>
        <b/>
        <i/>
        <u/>
        <sz val="15"/>
        <rFont val="Times New Roman Cyr"/>
        <charset val="204"/>
      </rPr>
      <t xml:space="preserve"> виплати особам з інвалідністю на бензин (пальне), ремонт, техобслуговування автотранспорту </t>
    </r>
    <r>
      <rPr>
        <i/>
        <sz val="15"/>
        <rFont val="Times New Roman Cyr"/>
        <charset val="204"/>
      </rPr>
      <t>та на транспортне обслуговування, встановлення телефонів особам з інвалідністю І та ІІ груп</t>
    </r>
  </si>
  <si>
    <r>
      <t xml:space="preserve">* субвенція з обласного бюджету </t>
    </r>
    <r>
      <rPr>
        <b/>
        <i/>
        <u/>
        <sz val="15"/>
        <rFont val="Times New Roman Cyr"/>
        <charset val="204"/>
      </rPr>
      <t>на компенсаційні виплати за пільговий проїзд окремих категорій громадян</t>
    </r>
    <r>
      <rPr>
        <i/>
        <sz val="15"/>
        <rFont val="Times New Roman Cyr"/>
        <charset val="204"/>
      </rPr>
      <t xml:space="preserve"> на міжміських внутрішньообласних маршрутах загального користування</t>
    </r>
  </si>
  <si>
    <r>
      <t xml:space="preserve">* субвенція з обласного бюджету для забезпечення витратними матеріалами (кардіовиробами) хворих області в </t>
    </r>
    <r>
      <rPr>
        <b/>
        <i/>
        <u/>
        <sz val="15"/>
        <rFont val="Times New Roman Cyr"/>
        <charset val="204"/>
      </rPr>
      <t>КНП "Вінницький регіональний клінічний лікувально-діагностичний центр серцево-судинної патології"</t>
    </r>
  </si>
  <si>
    <r>
      <t xml:space="preserve">субвенція з </t>
    </r>
    <r>
      <rPr>
        <b/>
        <i/>
        <u/>
        <sz val="15"/>
        <rFont val="Times New Roman Cyr"/>
        <charset val="204"/>
      </rPr>
      <t xml:space="preserve">бюджету Вороновицької </t>
    </r>
    <r>
      <rPr>
        <i/>
        <sz val="15"/>
        <rFont val="Times New Roman Cyr"/>
        <charset val="204"/>
      </rPr>
      <t xml:space="preserve">селищної територіальної громади для проведення технічного обстеження на предмет оцінки доступності осіб з інвалідністю та інших маломобільних груп населення до вхідної групи та внутрішніх приміщень будівлі терапевтичного та хірургічного відділень №2, </t>
    </r>
    <r>
      <rPr>
        <b/>
        <i/>
        <u/>
        <sz val="15"/>
        <rFont val="Times New Roman Cyr"/>
        <charset val="204"/>
      </rPr>
      <t>КНП «Вінницька клінічна багатопрофільна лікарня» Вінницької міської ради,</t>
    </r>
    <r>
      <rPr>
        <i/>
        <sz val="15"/>
        <rFont val="Times New Roman Cyr"/>
        <charset val="204"/>
      </rPr>
      <t xml:space="preserve"> яка знаходиться за адресою: Вінницька область, смт Вороновиця, вул. Гагаріна, буд.20</t>
    </r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</si>
  <si>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  </r>
  </si>
  <si>
    <r>
      <t xml:space="preserve">Субвенція з місцевого бюджету на забезпечення якісної, сучасної та доступної загальної середньої освіти </t>
    </r>
    <r>
      <rPr>
        <b/>
        <u/>
        <sz val="15"/>
        <rFont val="Times New Roman"/>
        <family val="1"/>
        <charset val="204"/>
      </rPr>
      <t>"Нова українська школа"</t>
    </r>
    <r>
      <rPr>
        <sz val="15"/>
        <rFont val="Times New Roman"/>
        <family val="1"/>
        <charset val="204"/>
      </rPr>
      <t xml:space="preserve"> за рахунок відповідної субвенції з державного бюджету</t>
    </r>
  </si>
  <si>
    <t>41051400</t>
  </si>
  <si>
    <t>41034500</t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</si>
  <si>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здійснення заходів щодо соціально-економічного розвитку</t>
    </r>
    <r>
      <rPr>
        <sz val="15"/>
        <rFont val="Times New Roman"/>
        <family val="1"/>
        <charset val="204"/>
      </rPr>
      <t xml:space="preserve"> окремих територій</t>
    </r>
  </si>
  <si>
    <t>травень</t>
  </si>
  <si>
    <t>червень</t>
  </si>
  <si>
    <r>
      <t xml:space="preserve">Субвенція з сільського бюджету села Вінницькі Хутори Вінницького району </t>
    </r>
    <r>
      <rPr>
        <b/>
        <i/>
        <u/>
        <sz val="15"/>
        <rFont val="Times New Roman"/>
        <family val="1"/>
        <charset val="204"/>
      </rPr>
      <t>на капітальний ремонт дороги по вул. Войцехівського м.Вінниці</t>
    </r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</si>
  <si>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фінансове забезпечення будівництва, реконструкції, ремонту і утримання автомобільних доріг</t>
    </r>
    <r>
      <rPr>
        <sz val="15"/>
        <rFont val="Times New Roman"/>
        <family val="1"/>
        <charset val="204"/>
      </rPr>
      <t xml:space="preserve">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  </r>
  </si>
  <si>
    <t>41052600</t>
  </si>
  <si>
    <t>6.5.</t>
  </si>
  <si>
    <t>липень</t>
  </si>
  <si>
    <t>Надійшло за січень - серпень 2021р.</t>
  </si>
  <si>
    <t>План на січень - серпень 2021 року</t>
  </si>
  <si>
    <t>Відхилення надходжень до бюджету на січень - серпень 2021 року</t>
  </si>
  <si>
    <t>План на січень - серпень 2021р. (розрахунковий)</t>
  </si>
  <si>
    <t xml:space="preserve">Відхилення надходжень до бюджету на січень - серпень 2021 року (розрахунковий) </t>
  </si>
  <si>
    <t>Надійшло за січень - серпень 2020р.</t>
  </si>
  <si>
    <t>Відхилення факту січня - серпня 2021р. від факту січня - серпня 2020р.</t>
  </si>
  <si>
    <t>Субвенція з місцевого бюджету на виплату грошової компенсації за належні для отримання жилі приміщення для сімей загиблих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</si>
  <si>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</si>
  <si>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які стали інвалідами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</si>
  <si>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41050500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</si>
  <si>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</si>
  <si>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41050600</t>
  </si>
  <si>
    <t>* на будівництво мережі каналізації на території приватного сектору квартального комітету «Добробут» мікрорайону «Старе місто» в м.Вінниці</t>
  </si>
  <si>
    <t>* на капітальний ремонт по очистці р.Південний Буг</t>
  </si>
  <si>
    <t>серпень</t>
  </si>
  <si>
    <t>14.1.</t>
  </si>
  <si>
    <t>14.2.</t>
  </si>
  <si>
    <t>14.3.</t>
  </si>
  <si>
    <t>14.4.</t>
  </si>
  <si>
    <t>14.5.</t>
  </si>
  <si>
    <t>14.6.</t>
  </si>
  <si>
    <t>Директор департаменту</t>
  </si>
  <si>
    <t>Наталія Луценко</t>
  </si>
  <si>
    <t>% виконання до уточненого плану на 2021р.</t>
  </si>
  <si>
    <t>Аналіз виконання бюджету Вінницької міської територіальної громади по доходах за січень - серпень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</si>
</sst>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"/>
    <numFmt numFmtId="166" formatCode="#,##0.000"/>
    <numFmt numFmtId="167" formatCode="#,##0.00000"/>
    <numFmt numFmtId="168" formatCode="#,##0.0"/>
    <numFmt numFmtId="169" formatCode="_-* #,##0.00_р_._-;\-* #,##0.00_р_._-;_-* &quot;-&quot;??_р_._-;_-@_-"/>
  </numFmts>
  <fonts count="5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u/>
      <sz val="15"/>
      <name val="Times New Roman"/>
      <family val="1"/>
      <charset val="204"/>
    </font>
    <font>
      <b/>
      <i/>
      <u/>
      <sz val="15"/>
      <name val="Times New Roman Cyr"/>
      <charset val="204"/>
    </font>
    <font>
      <i/>
      <sz val="14"/>
      <name val="Times New Roman Cyr"/>
      <charset val="204"/>
    </font>
    <font>
      <b/>
      <u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sz val="15.5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sz val="15"/>
      <name val="Times New Roman Cyr"/>
      <charset val="204"/>
    </font>
    <font>
      <b/>
      <i/>
      <u/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3">
    <xf numFmtId="0" fontId="0" fillId="0" borderId="0"/>
    <xf numFmtId="0" fontId="2" fillId="0" borderId="0"/>
    <xf numFmtId="0" fontId="2" fillId="0" borderId="0"/>
    <xf numFmtId="0" fontId="36" fillId="0" borderId="0"/>
    <xf numFmtId="0" fontId="50" fillId="0" borderId="0"/>
    <xf numFmtId="0" fontId="2" fillId="0" borderId="0"/>
    <xf numFmtId="0" fontId="36" fillId="0" borderId="0"/>
    <xf numFmtId="0" fontId="36" fillId="0" borderId="0"/>
    <xf numFmtId="169" fontId="2" fillId="0" borderId="0" applyFont="0" applyFill="0" applyBorder="0" applyAlignment="0" applyProtection="0"/>
    <xf numFmtId="0" fontId="36" fillId="0" borderId="0"/>
    <xf numFmtId="0" fontId="36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6" fillId="0" borderId="0"/>
    <xf numFmtId="0" fontId="52" fillId="0" borderId="0"/>
    <xf numFmtId="0" fontId="1" fillId="0" borderId="0"/>
    <xf numFmtId="0" fontId="36" fillId="0" borderId="0"/>
    <xf numFmtId="0" fontId="36" fillId="0" borderId="0"/>
    <xf numFmtId="0" fontId="51" fillId="0" borderId="0"/>
  </cellStyleXfs>
  <cellXfs count="197">
    <xf numFmtId="0" fontId="0" fillId="0" borderId="0" xfId="0"/>
    <xf numFmtId="0" fontId="3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/>
    <xf numFmtId="0" fontId="8" fillId="0" borderId="0" xfId="2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/>
    <xf numFmtId="165" fontId="21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/>
    <xf numFmtId="49" fontId="22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6" fillId="0" borderId="0" xfId="1" applyFont="1" applyFill="1" applyBorder="1"/>
    <xf numFmtId="0" fontId="15" fillId="0" borderId="1" xfId="1" applyFont="1" applyFill="1" applyBorder="1" applyAlignment="1">
      <alignment horizontal="center" vertical="center"/>
    </xf>
    <xf numFmtId="0" fontId="10" fillId="0" borderId="0" xfId="1" applyFont="1" applyFill="1" applyBorder="1"/>
    <xf numFmtId="0" fontId="24" fillId="0" borderId="1" xfId="1" applyFont="1" applyFill="1" applyBorder="1" applyAlignment="1">
      <alignment horizontal="left" vertical="center" wrapText="1"/>
    </xf>
    <xf numFmtId="49" fontId="23" fillId="0" borderId="1" xfId="1" applyNumberFormat="1" applyFont="1" applyFill="1" applyBorder="1" applyAlignment="1">
      <alignment horizontal="center" vertical="center" wrapText="1"/>
    </xf>
    <xf numFmtId="0" fontId="19" fillId="0" borderId="0" xfId="2" applyFont="1" applyFill="1"/>
    <xf numFmtId="0" fontId="3" fillId="0" borderId="0" xfId="2" applyFont="1" applyFill="1"/>
    <xf numFmtId="0" fontId="4" fillId="0" borderId="0" xfId="2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0" fontId="8" fillId="0" borderId="0" xfId="2" applyFont="1" applyFill="1"/>
    <xf numFmtId="0" fontId="5" fillId="0" borderId="0" xfId="2" applyFont="1" applyFill="1"/>
    <xf numFmtId="0" fontId="20" fillId="0" borderId="0" xfId="2" applyFont="1" applyFill="1"/>
    <xf numFmtId="0" fontId="13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0" fontId="13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left" vertical="center" wrapText="1"/>
    </xf>
    <xf numFmtId="49" fontId="21" fillId="0" borderId="0" xfId="1" applyNumberFormat="1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left" vertical="center" wrapText="1"/>
    </xf>
    <xf numFmtId="0" fontId="30" fillId="0" borderId="0" xfId="1" applyFont="1" applyFill="1" applyBorder="1"/>
    <xf numFmtId="166" fontId="5" fillId="0" borderId="0" xfId="1" applyNumberFormat="1" applyFont="1" applyFill="1" applyBorder="1"/>
    <xf numFmtId="49" fontId="26" fillId="0" borderId="1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/>
    <xf numFmtId="0" fontId="35" fillId="2" borderId="1" xfId="1" applyFont="1" applyFill="1" applyBorder="1" applyAlignment="1">
      <alignment horizontal="center" vertical="center"/>
    </xf>
    <xf numFmtId="49" fontId="34" fillId="2" borderId="1" xfId="1" applyNumberFormat="1" applyFont="1" applyFill="1" applyBorder="1" applyAlignment="1">
      <alignment horizontal="center" vertical="center" wrapText="1"/>
    </xf>
    <xf numFmtId="0" fontId="35" fillId="2" borderId="0" xfId="1" applyFont="1" applyFill="1" applyBorder="1"/>
    <xf numFmtId="0" fontId="33" fillId="0" borderId="1" xfId="1" applyFont="1" applyFill="1" applyBorder="1" applyAlignment="1">
      <alignment horizontal="center" vertical="center"/>
    </xf>
    <xf numFmtId="49" fontId="34" fillId="0" borderId="1" xfId="1" applyNumberFormat="1" applyFont="1" applyFill="1" applyBorder="1" applyAlignment="1">
      <alignment horizontal="center" vertical="center" wrapText="1"/>
    </xf>
    <xf numFmtId="0" fontId="33" fillId="0" borderId="0" xfId="1" applyFont="1" applyFill="1" applyBorder="1"/>
    <xf numFmtId="0" fontId="34" fillId="0" borderId="1" xfId="1" applyFont="1" applyFill="1" applyBorder="1" applyAlignment="1">
      <alignment horizontal="center" vertical="center" wrapText="1"/>
    </xf>
    <xf numFmtId="0" fontId="12" fillId="0" borderId="0" xfId="1" applyFont="1" applyFill="1" applyBorder="1"/>
    <xf numFmtId="166" fontId="13" fillId="0" borderId="0" xfId="1" applyNumberFormat="1" applyFont="1" applyFill="1" applyBorder="1"/>
    <xf numFmtId="0" fontId="15" fillId="0" borderId="0" xfId="1" applyFont="1" applyFill="1" applyBorder="1"/>
    <xf numFmtId="0" fontId="29" fillId="0" borderId="0" xfId="1" applyFont="1" applyFill="1" applyBorder="1"/>
    <xf numFmtId="0" fontId="35" fillId="0" borderId="1" xfId="1" applyFont="1" applyFill="1" applyBorder="1" applyAlignment="1">
      <alignment horizontal="center" vertical="center"/>
    </xf>
    <xf numFmtId="0" fontId="35" fillId="0" borderId="0" xfId="1" applyFont="1" applyFill="1" applyBorder="1"/>
    <xf numFmtId="49" fontId="15" fillId="0" borderId="1" xfId="2" applyNumberFormat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wrapText="1"/>
    </xf>
    <xf numFmtId="1" fontId="12" fillId="0" borderId="1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0" fontId="3" fillId="0" borderId="0" xfId="3" applyFont="1" applyFill="1" applyBorder="1"/>
    <xf numFmtId="166" fontId="5" fillId="0" borderId="0" xfId="3" applyNumberFormat="1" applyFont="1" applyFill="1" applyBorder="1"/>
    <xf numFmtId="164" fontId="5" fillId="0" borderId="0" xfId="3" applyNumberFormat="1" applyFont="1" applyFill="1" applyBorder="1"/>
    <xf numFmtId="0" fontId="29" fillId="0" borderId="1" xfId="3" applyFont="1" applyFill="1" applyBorder="1" applyAlignment="1">
      <alignment horizontal="center" vertical="center"/>
    </xf>
    <xf numFmtId="166" fontId="30" fillId="0" borderId="0" xfId="3" applyNumberFormat="1" applyFont="1" applyFill="1" applyBorder="1"/>
    <xf numFmtId="164" fontId="30" fillId="0" borderId="0" xfId="3" applyNumberFormat="1" applyFont="1" applyFill="1" applyBorder="1"/>
    <xf numFmtId="0" fontId="30" fillId="0" borderId="0" xfId="3" applyFont="1" applyFill="1" applyBorder="1"/>
    <xf numFmtId="0" fontId="25" fillId="0" borderId="1" xfId="3" applyFont="1" applyFill="1" applyBorder="1" applyAlignment="1">
      <alignment horizontal="left" vertical="center" wrapText="1"/>
    </xf>
    <xf numFmtId="0" fontId="33" fillId="2" borderId="1" xfId="3" applyFont="1" applyFill="1" applyBorder="1" applyAlignment="1">
      <alignment horizontal="center" vertical="center"/>
    </xf>
    <xf numFmtId="0" fontId="34" fillId="2" borderId="1" xfId="3" applyFont="1" applyFill="1" applyBorder="1" applyAlignment="1">
      <alignment horizontal="center" vertical="center" wrapText="1"/>
    </xf>
    <xf numFmtId="166" fontId="34" fillId="2" borderId="1" xfId="3" applyNumberFormat="1" applyFont="1" applyFill="1" applyBorder="1" applyAlignment="1">
      <alignment horizontal="center" vertical="center"/>
    </xf>
    <xf numFmtId="164" fontId="34" fillId="2" borderId="1" xfId="3" applyNumberFormat="1" applyFont="1" applyFill="1" applyBorder="1" applyAlignment="1">
      <alignment horizontal="center" vertical="center"/>
    </xf>
    <xf numFmtId="0" fontId="33" fillId="2" borderId="0" xfId="3" applyFont="1" applyFill="1" applyBorder="1"/>
    <xf numFmtId="166" fontId="33" fillId="2" borderId="0" xfId="3" applyNumberFormat="1" applyFont="1" applyFill="1" applyBorder="1"/>
    <xf numFmtId="166" fontId="34" fillId="0" borderId="1" xfId="3" applyNumberFormat="1" applyFont="1" applyFill="1" applyBorder="1" applyAlignment="1">
      <alignment horizontal="center" vertical="center"/>
    </xf>
    <xf numFmtId="164" fontId="34" fillId="0" borderId="1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left" vertical="center" wrapText="1"/>
    </xf>
    <xf numFmtId="166" fontId="21" fillId="0" borderId="0" xfId="3" applyNumberFormat="1" applyFont="1" applyFill="1" applyBorder="1" applyAlignment="1">
      <alignment horizontal="center" vertical="center"/>
    </xf>
    <xf numFmtId="164" fontId="21" fillId="0" borderId="0" xfId="3" applyNumberFormat="1" applyFont="1" applyFill="1" applyBorder="1" applyAlignment="1">
      <alignment horizontal="center" vertical="center"/>
    </xf>
    <xf numFmtId="165" fontId="7" fillId="0" borderId="0" xfId="3" applyNumberFormat="1" applyFont="1" applyFill="1" applyBorder="1" applyAlignment="1">
      <alignment horizontal="center" vertical="center"/>
    </xf>
    <xf numFmtId="164" fontId="7" fillId="0" borderId="0" xfId="3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65" fontId="5" fillId="0" borderId="1" xfId="2" applyNumberFormat="1" applyFont="1" applyFill="1" applyBorder="1" applyAlignment="1">
      <alignment horizontal="center" vertical="center" wrapText="1"/>
    </xf>
    <xf numFmtId="166" fontId="4" fillId="0" borderId="0" xfId="2" applyNumberFormat="1" applyFont="1" applyFill="1" applyBorder="1" applyAlignment="1">
      <alignment horizontal="center"/>
    </xf>
    <xf numFmtId="49" fontId="37" fillId="0" borderId="1" xfId="2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0" fontId="37" fillId="0" borderId="1" xfId="2" applyFont="1" applyFill="1" applyBorder="1" applyAlignment="1">
      <alignment horizontal="left" vertical="center" wrapText="1"/>
    </xf>
    <xf numFmtId="0" fontId="27" fillId="0" borderId="0" xfId="3" applyFont="1" applyFill="1" applyBorder="1"/>
    <xf numFmtId="14" fontId="29" fillId="0" borderId="1" xfId="3" applyNumberFormat="1" applyFont="1" applyFill="1" applyBorder="1" applyAlignment="1">
      <alignment horizontal="center" vertical="center"/>
    </xf>
    <xf numFmtId="0" fontId="7" fillId="0" borderId="0" xfId="3" applyFont="1" applyFill="1" applyBorder="1"/>
    <xf numFmtId="166" fontId="7" fillId="0" borderId="0" xfId="3" applyNumberFormat="1" applyFont="1" applyFill="1" applyBorder="1"/>
    <xf numFmtId="164" fontId="7" fillId="0" borderId="0" xfId="3" applyNumberFormat="1" applyFont="1" applyFill="1" applyBorder="1"/>
    <xf numFmtId="49" fontId="23" fillId="0" borderId="1" xfId="3" applyNumberFormat="1" applyFont="1" applyFill="1" applyBorder="1" applyAlignment="1">
      <alignment horizontal="center" vertical="center" shrinkToFit="1"/>
    </xf>
    <xf numFmtId="0" fontId="7" fillId="0" borderId="0" xfId="3" applyFont="1" applyFill="1" applyBorder="1" applyAlignment="1">
      <alignment horizontal="center"/>
    </xf>
    <xf numFmtId="166" fontId="32" fillId="0" borderId="0" xfId="1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6" fontId="40" fillId="0" borderId="1" xfId="0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/>
    </xf>
    <xf numFmtId="49" fontId="26" fillId="0" borderId="1" xfId="3" applyNumberFormat="1" applyFont="1" applyFill="1" applyBorder="1" applyAlignment="1">
      <alignment horizontal="left" vertical="center" wrapText="1"/>
    </xf>
    <xf numFmtId="49" fontId="41" fillId="0" borderId="1" xfId="2" applyNumberFormat="1" applyFont="1" applyFill="1" applyBorder="1" applyAlignment="1">
      <alignment horizontal="left" vertical="center" wrapText="1"/>
    </xf>
    <xf numFmtId="0" fontId="41" fillId="0" borderId="1" xfId="2" applyNumberFormat="1" applyFont="1" applyFill="1" applyBorder="1" applyAlignment="1">
      <alignment horizontal="left" vertical="center" wrapText="1"/>
    </xf>
    <xf numFmtId="166" fontId="19" fillId="0" borderId="0" xfId="2" applyNumberFormat="1" applyFont="1" applyFill="1"/>
    <xf numFmtId="166" fontId="34" fillId="0" borderId="0" xfId="1" applyNumberFormat="1" applyFont="1" applyFill="1" applyBorder="1" applyAlignment="1">
      <alignment horizontal="center" vertical="center" wrapText="1"/>
    </xf>
    <xf numFmtId="0" fontId="31" fillId="0" borderId="0" xfId="3" applyFont="1" applyFill="1" applyBorder="1"/>
    <xf numFmtId="0" fontId="44" fillId="0" borderId="1" xfId="3" applyNumberFormat="1" applyFont="1" applyFill="1" applyBorder="1" applyAlignment="1">
      <alignment horizontal="left" vertical="center" wrapText="1" shrinkToFit="1"/>
    </xf>
    <xf numFmtId="0" fontId="39" fillId="0" borderId="1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/>
    </xf>
    <xf numFmtId="166" fontId="27" fillId="0" borderId="0" xfId="3" applyNumberFormat="1" applyFont="1" applyFill="1" applyBorder="1"/>
    <xf numFmtId="0" fontId="46" fillId="2" borderId="1" xfId="1" applyFont="1" applyFill="1" applyBorder="1" applyAlignment="1">
      <alignment horizontal="center" vertical="center"/>
    </xf>
    <xf numFmtId="0" fontId="47" fillId="2" borderId="1" xfId="1" applyFont="1" applyFill="1" applyBorder="1" applyAlignment="1">
      <alignment horizontal="center" vertical="center" wrapText="1"/>
    </xf>
    <xf numFmtId="165" fontId="47" fillId="2" borderId="1" xfId="1" applyNumberFormat="1" applyFont="1" applyFill="1" applyBorder="1" applyAlignment="1">
      <alignment horizontal="center" vertical="center" wrapText="1"/>
    </xf>
    <xf numFmtId="166" fontId="47" fillId="2" borderId="1" xfId="1" applyNumberFormat="1" applyFont="1" applyFill="1" applyBorder="1" applyAlignment="1">
      <alignment horizontal="center" vertical="center" wrapText="1"/>
    </xf>
    <xf numFmtId="166" fontId="47" fillId="2" borderId="1" xfId="3" applyNumberFormat="1" applyFont="1" applyFill="1" applyBorder="1" applyAlignment="1">
      <alignment horizontal="center" vertical="center"/>
    </xf>
    <xf numFmtId="164" fontId="47" fillId="2" borderId="1" xfId="3" applyNumberFormat="1" applyFont="1" applyFill="1" applyBorder="1" applyAlignment="1">
      <alignment horizontal="center" vertical="center"/>
    </xf>
    <xf numFmtId="166" fontId="46" fillId="2" borderId="0" xfId="1" applyNumberFormat="1" applyFont="1" applyFill="1" applyBorder="1"/>
    <xf numFmtId="0" fontId="46" fillId="2" borderId="0" xfId="1" applyFont="1" applyFill="1" applyBorder="1"/>
    <xf numFmtId="49" fontId="47" fillId="2" borderId="1" xfId="1" applyNumberFormat="1" applyFont="1" applyFill="1" applyBorder="1" applyAlignment="1">
      <alignment horizontal="center" vertical="center" wrapText="1"/>
    </xf>
    <xf numFmtId="0" fontId="47" fillId="0" borderId="1" xfId="1" applyFont="1" applyFill="1" applyBorder="1" applyAlignment="1">
      <alignment horizontal="center" vertical="center" wrapText="1"/>
    </xf>
    <xf numFmtId="49" fontId="47" fillId="0" borderId="1" xfId="1" applyNumberFormat="1" applyFont="1" applyFill="1" applyBorder="1" applyAlignment="1">
      <alignment horizontal="center" vertical="center" wrapText="1"/>
    </xf>
    <xf numFmtId="166" fontId="47" fillId="0" borderId="1" xfId="1" applyNumberFormat="1" applyFont="1" applyFill="1" applyBorder="1" applyAlignment="1">
      <alignment horizontal="center" vertical="center" wrapText="1"/>
    </xf>
    <xf numFmtId="166" fontId="47" fillId="0" borderId="1" xfId="3" applyNumberFormat="1" applyFont="1" applyFill="1" applyBorder="1" applyAlignment="1">
      <alignment horizontal="center" vertical="center"/>
    </xf>
    <xf numFmtId="164" fontId="47" fillId="0" borderId="1" xfId="3" applyNumberFormat="1" applyFont="1" applyFill="1" applyBorder="1" applyAlignment="1">
      <alignment horizontal="center" vertical="center"/>
    </xf>
    <xf numFmtId="0" fontId="46" fillId="0" borderId="0" xfId="1" applyFont="1" applyFill="1" applyBorder="1"/>
    <xf numFmtId="0" fontId="46" fillId="2" borderId="1" xfId="1" applyFont="1" applyFill="1" applyBorder="1" applyAlignment="1">
      <alignment vertical="center"/>
    </xf>
    <xf numFmtId="0" fontId="46" fillId="0" borderId="1" xfId="1" applyFont="1" applyFill="1" applyBorder="1" applyAlignment="1">
      <alignment vertical="center"/>
    </xf>
    <xf numFmtId="49" fontId="33" fillId="0" borderId="1" xfId="1" applyNumberFormat="1" applyFont="1" applyFill="1" applyBorder="1" applyAlignment="1">
      <alignment horizontal="center" vertical="center"/>
    </xf>
    <xf numFmtId="49" fontId="48" fillId="0" borderId="1" xfId="1" applyNumberFormat="1" applyFont="1" applyFill="1" applyBorder="1" applyAlignment="1">
      <alignment horizontal="center" vertical="center"/>
    </xf>
    <xf numFmtId="49" fontId="40" fillId="0" borderId="1" xfId="1" applyNumberFormat="1" applyFont="1" applyFill="1" applyBorder="1" applyAlignment="1">
      <alignment horizontal="center" vertical="center" wrapText="1"/>
    </xf>
    <xf numFmtId="0" fontId="48" fillId="0" borderId="0" xfId="1" applyFont="1" applyFill="1" applyBorder="1"/>
    <xf numFmtId="49" fontId="41" fillId="0" borderId="1" xfId="3" applyNumberFormat="1" applyFont="1" applyFill="1" applyBorder="1" applyAlignment="1">
      <alignment horizontal="left" vertical="center" wrapText="1"/>
    </xf>
    <xf numFmtId="0" fontId="26" fillId="0" borderId="1" xfId="3" applyFont="1" applyFill="1" applyBorder="1" applyAlignment="1">
      <alignment horizontal="left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26" fillId="0" borderId="1" xfId="1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left" vertical="center" wrapText="1"/>
    </xf>
    <xf numFmtId="164" fontId="27" fillId="0" borderId="0" xfId="3" applyNumberFormat="1" applyFont="1" applyFill="1" applyBorder="1"/>
    <xf numFmtId="49" fontId="16" fillId="0" borderId="1" xfId="1" applyNumberFormat="1" applyFont="1" applyFill="1" applyBorder="1" applyAlignment="1">
      <alignment horizontal="center" vertical="center" wrapText="1"/>
    </xf>
    <xf numFmtId="0" fontId="27" fillId="0" borderId="0" xfId="1" applyFont="1" applyFill="1" applyBorder="1"/>
    <xf numFmtId="0" fontId="29" fillId="0" borderId="1" xfId="1" applyFont="1" applyFill="1" applyBorder="1" applyAlignment="1">
      <alignment horizontal="center" vertical="center"/>
    </xf>
    <xf numFmtId="168" fontId="39" fillId="0" borderId="1" xfId="1" applyNumberFormat="1" applyFont="1" applyFill="1" applyBorder="1" applyAlignment="1">
      <alignment horizontal="center" vertical="center" wrapText="1"/>
    </xf>
    <xf numFmtId="0" fontId="18" fillId="0" borderId="0" xfId="2" applyFont="1" applyFill="1"/>
    <xf numFmtId="166" fontId="34" fillId="2" borderId="1" xfId="1" applyNumberFormat="1" applyFont="1" applyFill="1" applyBorder="1" applyAlignment="1">
      <alignment horizontal="center" vertical="center" wrapText="1"/>
    </xf>
    <xf numFmtId="166" fontId="34" fillId="0" borderId="1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" fontId="16" fillId="0" borderId="1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0" fontId="5" fillId="0" borderId="0" xfId="3" applyFont="1" applyFill="1" applyBorder="1"/>
    <xf numFmtId="166" fontId="34" fillId="2" borderId="1" xfId="3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40" fillId="0" borderId="1" xfId="3" applyNumberFormat="1" applyFont="1" applyFill="1" applyBorder="1" applyAlignment="1">
      <alignment horizontal="center" vertical="center" wrapText="1"/>
    </xf>
    <xf numFmtId="164" fontId="40" fillId="0" borderId="1" xfId="3" applyNumberFormat="1" applyFont="1" applyFill="1" applyBorder="1" applyAlignment="1">
      <alignment horizontal="center" vertical="center"/>
    </xf>
    <xf numFmtId="166" fontId="39" fillId="0" borderId="1" xfId="1" applyNumberFormat="1" applyFont="1" applyFill="1" applyBorder="1" applyAlignment="1">
      <alignment horizontal="center" vertical="center" wrapText="1"/>
    </xf>
    <xf numFmtId="166" fontId="40" fillId="0" borderId="1" xfId="1" applyNumberFormat="1" applyFont="1" applyFill="1" applyBorder="1" applyAlignment="1">
      <alignment horizontal="center" vertical="center" wrapText="1"/>
    </xf>
    <xf numFmtId="49" fontId="38" fillId="0" borderId="1" xfId="1" applyNumberFormat="1" applyFont="1" applyFill="1" applyBorder="1" applyAlignment="1">
      <alignment horizontal="center" vertical="center" wrapText="1"/>
    </xf>
    <xf numFmtId="167" fontId="39" fillId="0" borderId="1" xfId="1" applyNumberFormat="1" applyFont="1" applyFill="1" applyBorder="1" applyAlignment="1">
      <alignment horizontal="center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0" fontId="25" fillId="0" borderId="1" xfId="3" applyNumberFormat="1" applyFont="1" applyFill="1" applyBorder="1" applyAlignment="1">
      <alignment horizontal="justify" vertical="center" wrapText="1" shrinkToFit="1"/>
    </xf>
    <xf numFmtId="0" fontId="41" fillId="0" borderId="1" xfId="3" applyNumberFormat="1" applyFont="1" applyFill="1" applyBorder="1" applyAlignment="1">
      <alignment horizontal="left" vertical="center" wrapText="1" shrinkToFit="1"/>
    </xf>
    <xf numFmtId="0" fontId="37" fillId="0" borderId="1" xfId="3" applyNumberFormat="1" applyFont="1" applyFill="1" applyBorder="1" applyAlignment="1">
      <alignment horizontal="justify" vertical="center" wrapText="1" shrinkToFit="1"/>
    </xf>
    <xf numFmtId="0" fontId="53" fillId="0" borderId="1" xfId="1" applyFont="1" applyFill="1" applyBorder="1" applyAlignment="1">
      <alignment horizontal="left" vertical="center" wrapText="1"/>
    </xf>
    <xf numFmtId="0" fontId="3" fillId="0" borderId="0" xfId="2" applyFont="1" applyFill="1" applyBorder="1"/>
    <xf numFmtId="0" fontId="4" fillId="0" borderId="0" xfId="2" applyFont="1" applyFill="1" applyBorder="1" applyAlignment="1">
      <alignment horizontal="center"/>
    </xf>
    <xf numFmtId="166" fontId="21" fillId="0" borderId="0" xfId="1" applyNumberFormat="1" applyFont="1" applyFill="1" applyBorder="1" applyAlignment="1">
      <alignment horizontal="center" vertical="center" wrapText="1"/>
    </xf>
    <xf numFmtId="0" fontId="19" fillId="0" borderId="0" xfId="2" applyFont="1" applyFill="1" applyBorder="1"/>
    <xf numFmtId="0" fontId="5" fillId="0" borderId="0" xfId="2" applyFont="1" applyFill="1" applyBorder="1"/>
    <xf numFmtId="0" fontId="25" fillId="0" borderId="1" xfId="2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2" fontId="34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0" fontId="41" fillId="0" borderId="1" xfId="1" applyFont="1" applyFill="1" applyBorder="1" applyAlignment="1">
      <alignment horizontal="left" vertical="center" wrapText="1"/>
    </xf>
    <xf numFmtId="168" fontId="40" fillId="0" borderId="1" xfId="1" applyNumberFormat="1" applyFont="1" applyFill="1" applyBorder="1" applyAlignment="1">
      <alignment horizontal="center" vertical="center" wrapText="1"/>
    </xf>
    <xf numFmtId="2" fontId="34" fillId="2" borderId="1" xfId="3" applyNumberFormat="1" applyFont="1" applyFill="1" applyBorder="1" applyAlignment="1">
      <alignment horizontal="center" vertical="center"/>
    </xf>
    <xf numFmtId="49" fontId="17" fillId="0" borderId="0" xfId="2" applyNumberFormat="1" applyFont="1" applyFill="1" applyBorder="1" applyAlignment="1">
      <alignment horizontal="center" vertical="center" wrapText="1"/>
    </xf>
    <xf numFmtId="49" fontId="21" fillId="0" borderId="2" xfId="3" applyNumberFormat="1" applyFont="1" applyFill="1" applyBorder="1" applyAlignment="1">
      <alignment horizontal="center" vertical="center" wrapText="1"/>
    </xf>
    <xf numFmtId="49" fontId="21" fillId="0" borderId="0" xfId="3" applyNumberFormat="1" applyFont="1" applyFill="1" applyBorder="1" applyAlignment="1">
      <alignment horizontal="center" vertical="center" wrapText="1"/>
    </xf>
    <xf numFmtId="49" fontId="21" fillId="0" borderId="3" xfId="3" applyNumberFormat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49" fontId="31" fillId="0" borderId="1" xfId="3" applyNumberFormat="1" applyFont="1" applyFill="1" applyBorder="1" applyAlignment="1">
      <alignment horizontal="center" vertical="center" textRotation="90" wrapText="1"/>
    </xf>
    <xf numFmtId="49" fontId="8" fillId="0" borderId="1" xfId="3" applyNumberFormat="1" applyFont="1" applyFill="1" applyBorder="1" applyAlignment="1">
      <alignment horizontal="center" vertical="center" wrapText="1"/>
    </xf>
    <xf numFmtId="49" fontId="24" fillId="0" borderId="2" xfId="3" applyNumberFormat="1" applyFont="1" applyFill="1" applyBorder="1" applyAlignment="1">
      <alignment horizontal="center" vertical="center" wrapText="1"/>
    </xf>
    <xf numFmtId="49" fontId="24" fillId="0" borderId="0" xfId="3" applyNumberFormat="1" applyFont="1" applyFill="1" applyBorder="1" applyAlignment="1">
      <alignment horizontal="center" vertical="center" wrapText="1"/>
    </xf>
    <xf numFmtId="49" fontId="24" fillId="0" borderId="3" xfId="3" applyNumberFormat="1" applyFont="1" applyFill="1" applyBorder="1" applyAlignment="1">
      <alignment horizontal="center" vertical="center" wrapText="1"/>
    </xf>
  </cellXfs>
  <cellStyles count="33">
    <cellStyle name="Звичайний 10" xfId="16"/>
    <cellStyle name="Звичайний 11" xfId="17"/>
    <cellStyle name="Звичайний 12" xfId="18"/>
    <cellStyle name="Звичайний 13" xfId="19"/>
    <cellStyle name="Звичайний 14" xfId="20"/>
    <cellStyle name="Звичайний 15" xfId="21"/>
    <cellStyle name="Звичайний 16" xfId="22"/>
    <cellStyle name="Звичайний 17" xfId="23"/>
    <cellStyle name="Звичайний 18" xfId="24"/>
    <cellStyle name="Звичайний 19" xfId="25"/>
    <cellStyle name="Звичайний 2" xfId="3"/>
    <cellStyle name="Звичайний 2 2" xfId="31"/>
    <cellStyle name="Звичайний 2 3" xfId="5"/>
    <cellStyle name="Звичайний 20" xfId="26"/>
    <cellStyle name="Звичайний 3" xfId="6"/>
    <cellStyle name="Звичайний 3 2" xfId="7"/>
    <cellStyle name="Звичайний 4" xfId="9"/>
    <cellStyle name="Звичайний 5" xfId="10"/>
    <cellStyle name="Звичайний 5 2" xfId="27"/>
    <cellStyle name="Звичайний 6" xfId="12"/>
    <cellStyle name="Звичайний 7" xfId="13"/>
    <cellStyle name="Звичайний 8" xfId="14"/>
    <cellStyle name="Звичайний 9" xfId="15"/>
    <cellStyle name="Звичайний_1с" xfId="11"/>
    <cellStyle name="Обычный" xfId="0" builtinId="0"/>
    <cellStyle name="Обычный 2" xfId="28"/>
    <cellStyle name="Обычный 3" xfId="29"/>
    <cellStyle name="Обычный 4" xfId="30"/>
    <cellStyle name="Обычный 5" xfId="32"/>
    <cellStyle name="Обычный 6" xfId="4"/>
    <cellStyle name="Обычный_Ан_вик_бюдж_поміс" xfId="1"/>
    <cellStyle name="Обычный_Ан_вик_бюдж_поміс_вл_закр" xfId="2"/>
    <cellStyle name="Фінансови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43"/>
  <sheetViews>
    <sheetView showGridLines="0" tabSelected="1" view="pageBreakPreview" zoomScale="60" zoomScaleNormal="75" workbookViewId="0">
      <pane xSplit="3" ySplit="6" topLeftCell="D107" activePane="bottomRight" state="frozen"/>
      <selection pane="topRight" activeCell="D1" sqref="D1"/>
      <selection pane="bottomLeft" activeCell="A7" sqref="A7"/>
      <selection pane="bottomRight" sqref="A1:Y1"/>
    </sheetView>
  </sheetViews>
  <sheetFormatPr defaultColWidth="9.140625" defaultRowHeight="12.75" x14ac:dyDescent="0.2"/>
  <cols>
    <col min="1" max="1" width="12.28515625" style="17" customWidth="1"/>
    <col min="2" max="2" width="85.85546875" style="17" customWidth="1"/>
    <col min="3" max="3" width="16.140625" style="17" customWidth="1"/>
    <col min="4" max="4" width="24.140625" style="17" hidden="1" customWidth="1"/>
    <col min="5" max="5" width="24.140625" style="17" customWidth="1"/>
    <col min="6" max="6" width="24.140625" style="161" customWidth="1"/>
    <col min="7" max="14" width="21.28515625" style="161" hidden="1" customWidth="1"/>
    <col min="15" max="15" width="14.85546875" style="1" customWidth="1"/>
    <col min="16" max="16" width="24.140625" style="161" hidden="1" customWidth="1"/>
    <col min="17" max="17" width="22.28515625" style="1" hidden="1" customWidth="1"/>
    <col min="18" max="18" width="14" style="1" hidden="1" customWidth="1"/>
    <col min="19" max="19" width="24.140625" style="1" hidden="1" customWidth="1"/>
    <col min="20" max="20" width="22.5703125" style="1" hidden="1" customWidth="1"/>
    <col min="21" max="21" width="10.140625" style="1" hidden="1" customWidth="1"/>
    <col min="22" max="22" width="0" hidden="1" customWidth="1"/>
    <col min="23" max="23" width="24.140625" style="161" customWidth="1"/>
    <col min="24" max="24" width="21.28515625" style="1" customWidth="1"/>
    <col min="25" max="25" width="12.5703125" style="161" customWidth="1"/>
    <col min="26" max="26" width="24.140625" style="161" hidden="1" customWidth="1"/>
    <col min="27" max="27" width="20.42578125" style="161" hidden="1" customWidth="1"/>
    <col min="28" max="28" width="15.85546875" style="161" hidden="1" customWidth="1"/>
    <col min="29" max="29" width="12.28515625" style="161" hidden="1" customWidth="1"/>
    <col min="30" max="30" width="21.28515625" style="161" hidden="1" customWidth="1"/>
    <col min="31" max="31" width="0" style="161" hidden="1" customWidth="1"/>
    <col min="32" max="32" width="15.140625" style="161" hidden="1" customWidth="1"/>
    <col min="33" max="16384" width="9.140625" style="161"/>
  </cols>
  <sheetData>
    <row r="1" spans="1:40" ht="30" customHeight="1" x14ac:dyDescent="0.2">
      <c r="A1" s="179" t="s">
        <v>220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</row>
    <row r="2" spans="1:40" ht="18.75" x14ac:dyDescent="0.3">
      <c r="A2" s="18" t="s">
        <v>48</v>
      </c>
      <c r="B2" s="162"/>
      <c r="C2" s="162"/>
      <c r="D2" s="77"/>
      <c r="E2" s="162"/>
      <c r="F2" s="77"/>
      <c r="G2" s="162"/>
      <c r="H2" s="162"/>
      <c r="I2" s="162"/>
      <c r="J2" s="162"/>
      <c r="K2" s="162"/>
      <c r="L2" s="162"/>
      <c r="M2" s="162"/>
      <c r="N2" s="162"/>
      <c r="P2" s="77"/>
      <c r="W2" s="77"/>
      <c r="X2" s="3" t="s">
        <v>13</v>
      </c>
      <c r="Y2" s="3"/>
    </row>
    <row r="3" spans="1:40" s="50" customFormat="1" ht="15" customHeight="1" x14ac:dyDescent="0.25">
      <c r="A3" s="193" t="s">
        <v>0</v>
      </c>
      <c r="B3" s="187" t="s">
        <v>1</v>
      </c>
      <c r="C3" s="187" t="s">
        <v>2</v>
      </c>
      <c r="D3" s="186" t="s">
        <v>144</v>
      </c>
      <c r="E3" s="186" t="s">
        <v>145</v>
      </c>
      <c r="F3" s="186" t="s">
        <v>195</v>
      </c>
      <c r="G3" s="186" t="s">
        <v>64</v>
      </c>
      <c r="H3" s="186" t="s">
        <v>160</v>
      </c>
      <c r="I3" s="186" t="s">
        <v>168</v>
      </c>
      <c r="J3" s="186" t="s">
        <v>176</v>
      </c>
      <c r="K3" s="186" t="s">
        <v>188</v>
      </c>
      <c r="L3" s="186" t="s">
        <v>189</v>
      </c>
      <c r="M3" s="186" t="s">
        <v>194</v>
      </c>
      <c r="N3" s="186" t="s">
        <v>210</v>
      </c>
      <c r="O3" s="192" t="s">
        <v>219</v>
      </c>
      <c r="P3" s="186" t="s">
        <v>196</v>
      </c>
      <c r="Q3" s="186" t="s">
        <v>197</v>
      </c>
      <c r="R3" s="186" t="s">
        <v>3</v>
      </c>
      <c r="S3" s="186" t="s">
        <v>198</v>
      </c>
      <c r="T3" s="186" t="s">
        <v>199</v>
      </c>
      <c r="U3" s="186" t="s">
        <v>3</v>
      </c>
      <c r="W3" s="186" t="s">
        <v>200</v>
      </c>
      <c r="X3" s="186" t="s">
        <v>201</v>
      </c>
      <c r="Y3" s="186" t="s">
        <v>3</v>
      </c>
    </row>
    <row r="4" spans="1:40" s="50" customFormat="1" ht="113.25" customHeight="1" x14ac:dyDescent="0.25">
      <c r="A4" s="193"/>
      <c r="B4" s="187"/>
      <c r="C4" s="187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92"/>
      <c r="P4" s="186"/>
      <c r="Q4" s="186"/>
      <c r="R4" s="186"/>
      <c r="S4" s="186"/>
      <c r="T4" s="186"/>
      <c r="U4" s="186"/>
      <c r="W4" s="186"/>
      <c r="X4" s="186"/>
      <c r="Y4" s="186"/>
    </row>
    <row r="5" spans="1:40" s="53" customFormat="1" ht="20.25" x14ac:dyDescent="0.2">
      <c r="A5" s="51" t="s">
        <v>4</v>
      </c>
      <c r="B5" s="140" t="s">
        <v>5</v>
      </c>
      <c r="C5" s="140">
        <f>B5+1</f>
        <v>3</v>
      </c>
      <c r="D5" s="140">
        <f t="shared" ref="D5:L5" si="0">C5+1</f>
        <v>4</v>
      </c>
      <c r="E5" s="140">
        <v>4</v>
      </c>
      <c r="F5" s="140">
        <f t="shared" si="0"/>
        <v>5</v>
      </c>
      <c r="G5" s="140">
        <f t="shared" si="0"/>
        <v>6</v>
      </c>
      <c r="H5" s="140">
        <f t="shared" si="0"/>
        <v>7</v>
      </c>
      <c r="I5" s="140">
        <f t="shared" si="0"/>
        <v>8</v>
      </c>
      <c r="J5" s="140">
        <f t="shared" si="0"/>
        <v>9</v>
      </c>
      <c r="K5" s="140">
        <f t="shared" si="0"/>
        <v>10</v>
      </c>
      <c r="L5" s="140">
        <f t="shared" si="0"/>
        <v>11</v>
      </c>
      <c r="M5" s="140">
        <f t="shared" ref="M5" si="1">L5+1</f>
        <v>12</v>
      </c>
      <c r="N5" s="140">
        <f t="shared" ref="N5" si="2">M5+1</f>
        <v>13</v>
      </c>
      <c r="O5" s="140">
        <v>6</v>
      </c>
      <c r="P5" s="140">
        <v>8</v>
      </c>
      <c r="Q5" s="140">
        <f t="shared" ref="Q5:Y5" si="3">P5+1</f>
        <v>9</v>
      </c>
      <c r="R5" s="140">
        <f t="shared" si="3"/>
        <v>10</v>
      </c>
      <c r="S5" s="140">
        <f t="shared" si="3"/>
        <v>11</v>
      </c>
      <c r="T5" s="140">
        <f t="shared" si="3"/>
        <v>12</v>
      </c>
      <c r="U5" s="140">
        <f t="shared" si="3"/>
        <v>13</v>
      </c>
      <c r="W5" s="140">
        <v>7</v>
      </c>
      <c r="X5" s="140">
        <f t="shared" si="3"/>
        <v>8</v>
      </c>
      <c r="Y5" s="140">
        <f t="shared" si="3"/>
        <v>9</v>
      </c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0" s="54" customFormat="1" ht="26.25" customHeight="1" x14ac:dyDescent="0.2">
      <c r="A6" s="194" t="s">
        <v>6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6"/>
    </row>
    <row r="7" spans="1:40" s="143" customFormat="1" ht="35.25" customHeight="1" x14ac:dyDescent="0.25">
      <c r="A7" s="141">
        <v>1</v>
      </c>
      <c r="B7" s="61" t="s">
        <v>66</v>
      </c>
      <c r="C7" s="142" t="s">
        <v>14</v>
      </c>
      <c r="D7" s="146">
        <v>2398057.0789999999</v>
      </c>
      <c r="E7" s="146">
        <v>2398057.0789999999</v>
      </c>
      <c r="F7" s="146">
        <f t="shared" ref="F7:F13" si="4">SUM(G7:N7)</f>
        <v>1500197.6990000003</v>
      </c>
      <c r="G7" s="146">
        <v>146999.421</v>
      </c>
      <c r="H7" s="146">
        <v>179706.05300000001</v>
      </c>
      <c r="I7" s="146">
        <v>188112.742</v>
      </c>
      <c r="J7" s="146">
        <v>196904.038</v>
      </c>
      <c r="K7" s="146">
        <v>184793.12400000001</v>
      </c>
      <c r="L7" s="146">
        <v>216858.70499999999</v>
      </c>
      <c r="M7" s="146">
        <v>196563.59700000001</v>
      </c>
      <c r="N7" s="146">
        <v>190260.019</v>
      </c>
      <c r="O7" s="149">
        <f t="shared" ref="O7:O23" si="5">F7/E7*100</f>
        <v>62.558882027344787</v>
      </c>
      <c r="P7" s="147">
        <v>1407232.071</v>
      </c>
      <c r="Q7" s="148">
        <f t="shared" ref="Q7:Q38" si="6">F7-P7</f>
        <v>92965.628000000259</v>
      </c>
      <c r="R7" s="149">
        <f t="shared" ref="R7:R23" si="7">F7/P7*100</f>
        <v>106.60627553307091</v>
      </c>
      <c r="S7" s="148">
        <f>E7/12*8</f>
        <v>1598704.7193333332</v>
      </c>
      <c r="T7" s="148">
        <f t="shared" ref="T7:T38" si="8">F7-S7</f>
        <v>-98507.020333332941</v>
      </c>
      <c r="U7" s="149">
        <f t="shared" ref="U7:U23" si="9">F7/S7*100</f>
        <v>93.838323041017176</v>
      </c>
      <c r="W7" s="146">
        <v>1223859.807</v>
      </c>
      <c r="X7" s="148">
        <f t="shared" ref="X7:X38" si="10">F7-W7</f>
        <v>276337.89200000023</v>
      </c>
      <c r="Y7" s="149">
        <f>F7/W7*100</f>
        <v>122.57921131321214</v>
      </c>
      <c r="Z7" s="55"/>
      <c r="AA7" s="55"/>
      <c r="AB7" s="55">
        <f>Z7-AA7</f>
        <v>0</v>
      </c>
      <c r="AC7" s="56" t="e">
        <f>Z7/AA7*100</f>
        <v>#DIV/0!</v>
      </c>
    </row>
    <row r="8" spans="1:40" s="143" customFormat="1" ht="39" x14ac:dyDescent="0.25">
      <c r="A8" s="141">
        <f>A7+1</f>
        <v>2</v>
      </c>
      <c r="B8" s="61" t="s">
        <v>35</v>
      </c>
      <c r="C8" s="142" t="s">
        <v>16</v>
      </c>
      <c r="D8" s="146">
        <v>1100</v>
      </c>
      <c r="E8" s="146">
        <v>1100</v>
      </c>
      <c r="F8" s="146">
        <f t="shared" si="4"/>
        <v>787.23100000000011</v>
      </c>
      <c r="G8" s="146">
        <v>70</v>
      </c>
      <c r="H8" s="146">
        <v>377.19400000000002</v>
      </c>
      <c r="I8" s="146">
        <v>102.018</v>
      </c>
      <c r="J8" s="146">
        <v>56.6</v>
      </c>
      <c r="K8" s="146">
        <v>69.45</v>
      </c>
      <c r="L8" s="146">
        <v>0</v>
      </c>
      <c r="M8" s="146">
        <v>23.594999999999999</v>
      </c>
      <c r="N8" s="146">
        <v>88.373999999999995</v>
      </c>
      <c r="O8" s="149">
        <f t="shared" si="5"/>
        <v>71.566454545454548</v>
      </c>
      <c r="P8" s="147">
        <v>783</v>
      </c>
      <c r="Q8" s="148">
        <f t="shared" si="6"/>
        <v>4.2310000000001082</v>
      </c>
      <c r="R8" s="149">
        <f t="shared" si="7"/>
        <v>100.5403575989783</v>
      </c>
      <c r="S8" s="148">
        <f>E8/12*8</f>
        <v>733.33333333333337</v>
      </c>
      <c r="T8" s="148">
        <f t="shared" si="8"/>
        <v>53.897666666666737</v>
      </c>
      <c r="U8" s="149">
        <f t="shared" si="9"/>
        <v>107.34968181818184</v>
      </c>
      <c r="W8" s="146">
        <v>856.94299999999998</v>
      </c>
      <c r="X8" s="148">
        <f t="shared" si="10"/>
        <v>-69.711999999999875</v>
      </c>
      <c r="Y8" s="149">
        <f>F8/W8*100</f>
        <v>91.865036531017836</v>
      </c>
      <c r="Z8" s="55"/>
      <c r="AA8" s="55"/>
      <c r="AB8" s="55">
        <f>W7/0.5</f>
        <v>2447719.6140000001</v>
      </c>
      <c r="AC8" s="56">
        <f>AA8/AB8*100</f>
        <v>0</v>
      </c>
    </row>
    <row r="9" spans="1:40" s="143" customFormat="1" ht="39.75" customHeight="1" x14ac:dyDescent="0.25">
      <c r="A9" s="141">
        <v>3</v>
      </c>
      <c r="B9" s="61" t="s">
        <v>109</v>
      </c>
      <c r="C9" s="142" t="s">
        <v>110</v>
      </c>
      <c r="D9" s="146">
        <f>SUM(D11:D13)</f>
        <v>506.88</v>
      </c>
      <c r="E9" s="146">
        <f>SUM(E10:E13)</f>
        <v>515.38</v>
      </c>
      <c r="F9" s="146">
        <f t="shared" si="4"/>
        <v>341.97800000000001</v>
      </c>
      <c r="G9" s="146">
        <f t="shared" ref="G9:P9" si="11">SUM(G10:G13)</f>
        <v>0.54200000000000004</v>
      </c>
      <c r="H9" s="146">
        <f t="shared" si="11"/>
        <v>122.19999999999999</v>
      </c>
      <c r="I9" s="146">
        <f t="shared" si="11"/>
        <v>2.044</v>
      </c>
      <c r="J9" s="146">
        <f t="shared" si="11"/>
        <v>2.8140000000000001</v>
      </c>
      <c r="K9" s="146">
        <f t="shared" ref="K9:M9" si="12">SUM(K10:K13)</f>
        <v>85.728000000000009</v>
      </c>
      <c r="L9" s="146">
        <f t="shared" si="12"/>
        <v>0</v>
      </c>
      <c r="M9" s="146">
        <f t="shared" si="12"/>
        <v>47.101999999999997</v>
      </c>
      <c r="N9" s="146">
        <f t="shared" si="11"/>
        <v>81.548000000000002</v>
      </c>
      <c r="O9" s="149">
        <f t="shared" si="5"/>
        <v>66.354534518219566</v>
      </c>
      <c r="P9" s="147">
        <f t="shared" si="11"/>
        <v>340.82500000000005</v>
      </c>
      <c r="Q9" s="148">
        <f t="shared" si="6"/>
        <v>1.1529999999999632</v>
      </c>
      <c r="R9" s="149">
        <f t="shared" si="7"/>
        <v>100.33829677987237</v>
      </c>
      <c r="S9" s="148">
        <f t="shared" ref="S9:S46" si="13">E9/12*8</f>
        <v>343.58666666666664</v>
      </c>
      <c r="T9" s="148">
        <f t="shared" si="8"/>
        <v>-1.608666666666636</v>
      </c>
      <c r="U9" s="149">
        <f t="shared" si="9"/>
        <v>99.531801777329349</v>
      </c>
      <c r="W9" s="146">
        <f>SUM(W10:W13)</f>
        <v>333.29700000000003</v>
      </c>
      <c r="X9" s="148">
        <f t="shared" si="10"/>
        <v>8.6809999999999832</v>
      </c>
      <c r="Y9" s="149">
        <f>F9/W9*100</f>
        <v>102.60458389964506</v>
      </c>
      <c r="Z9" s="55"/>
      <c r="AA9" s="55"/>
      <c r="AB9" s="55"/>
      <c r="AC9" s="56"/>
    </row>
    <row r="10" spans="1:40" s="60" customFormat="1" ht="58.5" x14ac:dyDescent="0.25">
      <c r="A10" s="57" t="s">
        <v>111</v>
      </c>
      <c r="B10" s="126" t="s">
        <v>162</v>
      </c>
      <c r="C10" s="49" t="s">
        <v>161</v>
      </c>
      <c r="D10" s="150">
        <v>0</v>
      </c>
      <c r="E10" s="150">
        <f>8.5+14</f>
        <v>22.5</v>
      </c>
      <c r="F10" s="150">
        <f t="shared" si="4"/>
        <v>17.615000000000002</v>
      </c>
      <c r="G10" s="150">
        <v>0</v>
      </c>
      <c r="H10" s="150">
        <v>8.5120000000000005</v>
      </c>
      <c r="I10" s="150">
        <v>0</v>
      </c>
      <c r="J10" s="150">
        <v>0</v>
      </c>
      <c r="K10" s="150">
        <v>4.5519999999999996</v>
      </c>
      <c r="L10" s="150">
        <v>0</v>
      </c>
      <c r="M10" s="150">
        <v>0</v>
      </c>
      <c r="N10" s="150">
        <v>4.5510000000000002</v>
      </c>
      <c r="O10" s="151">
        <f t="shared" si="5"/>
        <v>78.288888888888891</v>
      </c>
      <c r="P10" s="93">
        <v>17.600000000000001</v>
      </c>
      <c r="Q10" s="94">
        <f t="shared" si="6"/>
        <v>1.5000000000000568E-2</v>
      </c>
      <c r="R10" s="151">
        <f t="shared" si="7"/>
        <v>100.08522727272728</v>
      </c>
      <c r="S10" s="94">
        <f t="shared" si="13"/>
        <v>15</v>
      </c>
      <c r="T10" s="94">
        <f t="shared" si="8"/>
        <v>2.615000000000002</v>
      </c>
      <c r="U10" s="151">
        <f t="shared" si="9"/>
        <v>117.43333333333335</v>
      </c>
      <c r="W10" s="150">
        <v>0</v>
      </c>
      <c r="X10" s="94">
        <f t="shared" si="10"/>
        <v>17.615000000000002</v>
      </c>
      <c r="Y10" s="151"/>
    </row>
    <row r="11" spans="1:40" s="60" customFormat="1" ht="78" x14ac:dyDescent="0.25">
      <c r="A11" s="57" t="s">
        <v>112</v>
      </c>
      <c r="B11" s="126" t="s">
        <v>103</v>
      </c>
      <c r="C11" s="49" t="s">
        <v>104</v>
      </c>
      <c r="D11" s="150">
        <v>166.79</v>
      </c>
      <c r="E11" s="150">
        <v>166.79</v>
      </c>
      <c r="F11" s="150">
        <f t="shared" si="4"/>
        <v>115.65200000000002</v>
      </c>
      <c r="G11" s="150">
        <v>0</v>
      </c>
      <c r="H11" s="150">
        <v>53.468000000000004</v>
      </c>
      <c r="I11" s="150">
        <v>0</v>
      </c>
      <c r="J11" s="150">
        <v>0</v>
      </c>
      <c r="K11" s="150">
        <v>14.064</v>
      </c>
      <c r="L11" s="150">
        <v>0</v>
      </c>
      <c r="M11" s="150">
        <v>45.820999999999998</v>
      </c>
      <c r="N11" s="150">
        <v>2.2989999999999999</v>
      </c>
      <c r="O11" s="151">
        <f t="shared" si="5"/>
        <v>69.339888482522952</v>
      </c>
      <c r="P11" s="93">
        <v>115.5</v>
      </c>
      <c r="Q11" s="94">
        <f t="shared" si="6"/>
        <v>0.15200000000001523</v>
      </c>
      <c r="R11" s="151">
        <f t="shared" si="7"/>
        <v>100.13160173160173</v>
      </c>
      <c r="S11" s="94">
        <f t="shared" si="13"/>
        <v>111.19333333333333</v>
      </c>
      <c r="T11" s="94">
        <f t="shared" si="8"/>
        <v>4.4586666666666872</v>
      </c>
      <c r="U11" s="151">
        <f t="shared" si="9"/>
        <v>104.00983272378441</v>
      </c>
      <c r="W11" s="150">
        <v>80.099999999999994</v>
      </c>
      <c r="X11" s="94">
        <f t="shared" si="10"/>
        <v>35.552000000000021</v>
      </c>
      <c r="Y11" s="151">
        <f t="shared" ref="Y11:Y23" si="14">F11/W11*100</f>
        <v>144.3845193508115</v>
      </c>
    </row>
    <row r="12" spans="1:40" s="60" customFormat="1" ht="39" x14ac:dyDescent="0.25">
      <c r="A12" s="57" t="s">
        <v>113</v>
      </c>
      <c r="B12" s="126" t="s">
        <v>148</v>
      </c>
      <c r="C12" s="49" t="s">
        <v>108</v>
      </c>
      <c r="D12" s="150">
        <v>82.45</v>
      </c>
      <c r="E12" s="150">
        <v>82.45</v>
      </c>
      <c r="F12" s="150">
        <f t="shared" si="4"/>
        <v>56.109000000000002</v>
      </c>
      <c r="G12" s="150">
        <v>0.54200000000000004</v>
      </c>
      <c r="H12" s="150">
        <v>16.192</v>
      </c>
      <c r="I12" s="150">
        <v>4.4999999999999998E-2</v>
      </c>
      <c r="J12" s="150">
        <v>2.8140000000000001</v>
      </c>
      <c r="K12" s="150">
        <v>12.21</v>
      </c>
      <c r="L12" s="150">
        <v>0</v>
      </c>
      <c r="M12" s="150">
        <v>1.2809999999999999</v>
      </c>
      <c r="N12" s="150">
        <v>23.024999999999999</v>
      </c>
      <c r="O12" s="151">
        <f t="shared" si="5"/>
        <v>68.05215281989085</v>
      </c>
      <c r="P12" s="93">
        <v>55.825000000000003</v>
      </c>
      <c r="Q12" s="94">
        <f t="shared" si="6"/>
        <v>0.28399999999999892</v>
      </c>
      <c r="R12" s="151">
        <f t="shared" si="7"/>
        <v>100.50873264666369</v>
      </c>
      <c r="S12" s="94">
        <f t="shared" si="13"/>
        <v>54.966666666666669</v>
      </c>
      <c r="T12" s="94">
        <f t="shared" si="8"/>
        <v>1.1423333333333332</v>
      </c>
      <c r="U12" s="151">
        <f t="shared" si="9"/>
        <v>102.07822922983627</v>
      </c>
      <c r="W12" s="150">
        <v>55.363</v>
      </c>
      <c r="X12" s="94">
        <f t="shared" si="10"/>
        <v>0.74600000000000222</v>
      </c>
      <c r="Y12" s="151">
        <f t="shared" si="14"/>
        <v>101.34747033217131</v>
      </c>
    </row>
    <row r="13" spans="1:40" s="60" customFormat="1" ht="39" x14ac:dyDescent="0.25">
      <c r="A13" s="57" t="s">
        <v>163</v>
      </c>
      <c r="B13" s="126" t="s">
        <v>147</v>
      </c>
      <c r="C13" s="49" t="s">
        <v>146</v>
      </c>
      <c r="D13" s="150">
        <v>257.64</v>
      </c>
      <c r="E13" s="150">
        <f>257.64-14</f>
        <v>243.64</v>
      </c>
      <c r="F13" s="150">
        <f t="shared" si="4"/>
        <v>152.602</v>
      </c>
      <c r="G13" s="150">
        <v>0</v>
      </c>
      <c r="H13" s="150">
        <v>44.027999999999999</v>
      </c>
      <c r="I13" s="150">
        <v>1.9990000000000001</v>
      </c>
      <c r="J13" s="150">
        <v>0</v>
      </c>
      <c r="K13" s="150">
        <v>54.902000000000001</v>
      </c>
      <c r="L13" s="150">
        <v>0</v>
      </c>
      <c r="M13" s="150">
        <v>0</v>
      </c>
      <c r="N13" s="150">
        <v>51.673000000000002</v>
      </c>
      <c r="O13" s="151">
        <f t="shared" si="5"/>
        <v>62.634214414710229</v>
      </c>
      <c r="P13" s="93">
        <v>151.9</v>
      </c>
      <c r="Q13" s="94">
        <f t="shared" si="6"/>
        <v>0.70199999999999818</v>
      </c>
      <c r="R13" s="151">
        <f t="shared" si="7"/>
        <v>100.46214614878208</v>
      </c>
      <c r="S13" s="94">
        <f t="shared" si="13"/>
        <v>162.42666666666665</v>
      </c>
      <c r="T13" s="94">
        <f t="shared" si="8"/>
        <v>-9.8246666666666442</v>
      </c>
      <c r="U13" s="151">
        <f t="shared" si="9"/>
        <v>93.95132162206535</v>
      </c>
      <c r="W13" s="150">
        <v>197.834</v>
      </c>
      <c r="X13" s="94">
        <f t="shared" si="10"/>
        <v>-45.231999999999999</v>
      </c>
      <c r="Y13" s="151">
        <f t="shared" si="14"/>
        <v>77.13638707198966</v>
      </c>
    </row>
    <row r="14" spans="1:40" s="143" customFormat="1" ht="33" customHeight="1" x14ac:dyDescent="0.25">
      <c r="A14" s="141">
        <v>4</v>
      </c>
      <c r="B14" s="82" t="s">
        <v>90</v>
      </c>
      <c r="C14" s="78" t="s">
        <v>89</v>
      </c>
      <c r="D14" s="146">
        <f>SUM(D15:D17)</f>
        <v>247766</v>
      </c>
      <c r="E14" s="146">
        <f>SUM(E15:E17)</f>
        <v>247766</v>
      </c>
      <c r="F14" s="146">
        <f t="shared" ref="F14:F78" si="15">SUM(G14:N14)</f>
        <v>137245.53699999998</v>
      </c>
      <c r="G14" s="146">
        <f t="shared" ref="G14:P14" si="16">SUM(G15:G17)</f>
        <v>9113.7909999999993</v>
      </c>
      <c r="H14" s="146">
        <f t="shared" ref="H14:M14" si="17">SUM(H15:H17)</f>
        <v>6708.6940000000004</v>
      </c>
      <c r="I14" s="146">
        <f t="shared" si="17"/>
        <v>36301.611000000004</v>
      </c>
      <c r="J14" s="146">
        <f t="shared" si="17"/>
        <v>18813.798999999999</v>
      </c>
      <c r="K14" s="146">
        <f t="shared" si="17"/>
        <v>19997.205999999998</v>
      </c>
      <c r="L14" s="146">
        <f t="shared" si="17"/>
        <v>20472.231999999996</v>
      </c>
      <c r="M14" s="146">
        <f t="shared" si="17"/>
        <v>12117.133</v>
      </c>
      <c r="N14" s="146">
        <f t="shared" si="16"/>
        <v>13721.071</v>
      </c>
      <c r="O14" s="149">
        <f t="shared" si="5"/>
        <v>55.393208511256589</v>
      </c>
      <c r="P14" s="147">
        <f t="shared" si="16"/>
        <v>133303.378</v>
      </c>
      <c r="Q14" s="148">
        <f t="shared" si="6"/>
        <v>3942.1589999999851</v>
      </c>
      <c r="R14" s="149">
        <f t="shared" si="7"/>
        <v>102.9572836481308</v>
      </c>
      <c r="S14" s="148">
        <f t="shared" si="13"/>
        <v>165177.33333333334</v>
      </c>
      <c r="T14" s="148">
        <f t="shared" si="8"/>
        <v>-27931.796333333361</v>
      </c>
      <c r="U14" s="149">
        <f t="shared" si="9"/>
        <v>83.089812766884862</v>
      </c>
      <c r="W14" s="146">
        <f t="shared" ref="W14" si="18">SUM(W15:W17)</f>
        <v>147913.42200000002</v>
      </c>
      <c r="X14" s="148">
        <f t="shared" si="10"/>
        <v>-10667.885000000038</v>
      </c>
      <c r="Y14" s="149">
        <f t="shared" si="14"/>
        <v>92.787750526115175</v>
      </c>
    </row>
    <row r="15" spans="1:40" s="60" customFormat="1" ht="39" x14ac:dyDescent="0.25">
      <c r="A15" s="57" t="s">
        <v>126</v>
      </c>
      <c r="B15" s="126" t="s">
        <v>96</v>
      </c>
      <c r="C15" s="49" t="s">
        <v>87</v>
      </c>
      <c r="D15" s="150">
        <v>25500</v>
      </c>
      <c r="E15" s="150">
        <v>25500</v>
      </c>
      <c r="F15" s="150">
        <f>SUM(G15:N15)</f>
        <v>13356.534</v>
      </c>
      <c r="G15" s="150">
        <v>0</v>
      </c>
      <c r="H15" s="150">
        <v>0</v>
      </c>
      <c r="I15" s="150">
        <v>6236.9179999999997</v>
      </c>
      <c r="J15" s="150">
        <v>2120.248</v>
      </c>
      <c r="K15" s="150">
        <v>2421.9479999999999</v>
      </c>
      <c r="L15" s="150">
        <v>2577.42</v>
      </c>
      <c r="M15" s="150">
        <v>0</v>
      </c>
      <c r="N15" s="150">
        <v>0</v>
      </c>
      <c r="O15" s="151">
        <f t="shared" si="5"/>
        <v>52.378564705882347</v>
      </c>
      <c r="P15" s="93">
        <v>13349.44</v>
      </c>
      <c r="Q15" s="94">
        <f t="shared" si="6"/>
        <v>7.0939999999991414</v>
      </c>
      <c r="R15" s="151">
        <f t="shared" si="7"/>
        <v>100.05314080590647</v>
      </c>
      <c r="S15" s="94">
        <f t="shared" si="13"/>
        <v>17000</v>
      </c>
      <c r="T15" s="94">
        <f t="shared" si="8"/>
        <v>-3643.4660000000003</v>
      </c>
      <c r="U15" s="151">
        <f t="shared" si="9"/>
        <v>78.567847058823531</v>
      </c>
      <c r="W15" s="150">
        <v>14938.753000000001</v>
      </c>
      <c r="X15" s="94">
        <f t="shared" si="10"/>
        <v>-1582.219000000001</v>
      </c>
      <c r="Y15" s="151">
        <f t="shared" si="14"/>
        <v>89.408627346606508</v>
      </c>
      <c r="Z15" s="58">
        <f>W15+W16</f>
        <v>67294.353000000003</v>
      </c>
      <c r="AA15" s="58">
        <f>F15+F16</f>
        <v>58717.851999999999</v>
      </c>
    </row>
    <row r="16" spans="1:40" s="60" customFormat="1" ht="39" x14ac:dyDescent="0.25">
      <c r="A16" s="57" t="s">
        <v>127</v>
      </c>
      <c r="B16" s="126" t="s">
        <v>97</v>
      </c>
      <c r="C16" s="49" t="s">
        <v>88</v>
      </c>
      <c r="D16" s="150">
        <v>87500</v>
      </c>
      <c r="E16" s="150">
        <v>87500</v>
      </c>
      <c r="F16" s="150">
        <f t="shared" si="15"/>
        <v>45361.317999999999</v>
      </c>
      <c r="G16" s="150">
        <v>0</v>
      </c>
      <c r="H16" s="150">
        <v>0</v>
      </c>
      <c r="I16" s="150">
        <v>21013.128000000001</v>
      </c>
      <c r="J16" s="150">
        <v>8063.9430000000002</v>
      </c>
      <c r="K16" s="150">
        <v>8167.2610000000004</v>
      </c>
      <c r="L16" s="150">
        <v>8116.9859999999999</v>
      </c>
      <c r="M16" s="150">
        <v>0</v>
      </c>
      <c r="N16" s="150">
        <v>0</v>
      </c>
      <c r="O16" s="151">
        <f t="shared" si="5"/>
        <v>51.841506285714289</v>
      </c>
      <c r="P16" s="93">
        <v>45325</v>
      </c>
      <c r="Q16" s="94">
        <f t="shared" si="6"/>
        <v>36.317999999999302</v>
      </c>
      <c r="R16" s="151">
        <f t="shared" si="7"/>
        <v>100.08012796469939</v>
      </c>
      <c r="S16" s="94">
        <f t="shared" si="13"/>
        <v>58333.333333333336</v>
      </c>
      <c r="T16" s="94">
        <f t="shared" si="8"/>
        <v>-12972.015333333336</v>
      </c>
      <c r="U16" s="151">
        <f t="shared" si="9"/>
        <v>77.762259428571426</v>
      </c>
      <c r="W16" s="150">
        <v>52355.600000000006</v>
      </c>
      <c r="X16" s="94">
        <f t="shared" si="10"/>
        <v>-6994.2820000000065</v>
      </c>
      <c r="Y16" s="151">
        <f t="shared" si="14"/>
        <v>86.640813972144329</v>
      </c>
    </row>
    <row r="17" spans="1:28" s="60" customFormat="1" ht="39" x14ac:dyDescent="0.25">
      <c r="A17" s="57" t="s">
        <v>128</v>
      </c>
      <c r="B17" s="126" t="s">
        <v>98</v>
      </c>
      <c r="C17" s="49" t="s">
        <v>57</v>
      </c>
      <c r="D17" s="150">
        <v>134766</v>
      </c>
      <c r="E17" s="150">
        <v>134766</v>
      </c>
      <c r="F17" s="150">
        <f t="shared" si="15"/>
        <v>78527.684999999998</v>
      </c>
      <c r="G17" s="150">
        <v>9113.7909999999993</v>
      </c>
      <c r="H17" s="150">
        <v>6708.6940000000004</v>
      </c>
      <c r="I17" s="150">
        <v>9051.5650000000005</v>
      </c>
      <c r="J17" s="150">
        <v>8629.6080000000002</v>
      </c>
      <c r="K17" s="150">
        <v>9407.9969999999994</v>
      </c>
      <c r="L17" s="150">
        <v>9777.8259999999991</v>
      </c>
      <c r="M17" s="150">
        <v>12117.133</v>
      </c>
      <c r="N17" s="150">
        <v>13721.071</v>
      </c>
      <c r="O17" s="151">
        <f t="shared" si="5"/>
        <v>58.269656293130311</v>
      </c>
      <c r="P17" s="93">
        <v>74628.937999999995</v>
      </c>
      <c r="Q17" s="94">
        <f t="shared" si="6"/>
        <v>3898.747000000003</v>
      </c>
      <c r="R17" s="151">
        <f t="shared" si="7"/>
        <v>105.22417590881436</v>
      </c>
      <c r="S17" s="94">
        <f t="shared" si="13"/>
        <v>89844</v>
      </c>
      <c r="T17" s="94">
        <f t="shared" si="8"/>
        <v>-11316.315000000002</v>
      </c>
      <c r="U17" s="151">
        <f t="shared" si="9"/>
        <v>87.40448443969548</v>
      </c>
      <c r="W17" s="150">
        <v>80619.069000000003</v>
      </c>
      <c r="X17" s="94">
        <f t="shared" si="10"/>
        <v>-2091.3840000000055</v>
      </c>
      <c r="Y17" s="151">
        <f t="shared" si="14"/>
        <v>97.405844515520258</v>
      </c>
    </row>
    <row r="18" spans="1:28" s="83" customFormat="1" ht="39" x14ac:dyDescent="0.25">
      <c r="A18" s="141">
        <v>5</v>
      </c>
      <c r="B18" s="61" t="s">
        <v>149</v>
      </c>
      <c r="C18" s="142" t="s">
        <v>37</v>
      </c>
      <c r="D18" s="146">
        <f>D19+D20+D21+D23+D22</f>
        <v>1024661.45</v>
      </c>
      <c r="E18" s="146">
        <f>E19+E20+E21+E23+E22</f>
        <v>1024440.45</v>
      </c>
      <c r="F18" s="146">
        <f t="shared" si="15"/>
        <v>664282.23399999994</v>
      </c>
      <c r="G18" s="146">
        <f t="shared" ref="G18:P18" si="19">G19+G20+G21+G23+G22</f>
        <v>75712.956999999995</v>
      </c>
      <c r="H18" s="146">
        <f t="shared" ref="H18:M18" si="20">H19+H20+H21+H23+H22</f>
        <v>111045.807</v>
      </c>
      <c r="I18" s="146">
        <f t="shared" si="20"/>
        <v>44534.228999999999</v>
      </c>
      <c r="J18" s="146">
        <f t="shared" si="20"/>
        <v>86744.623999999996</v>
      </c>
      <c r="K18" s="146">
        <f t="shared" si="20"/>
        <v>95406.558000000005</v>
      </c>
      <c r="L18" s="146">
        <f t="shared" si="20"/>
        <v>48319.159</v>
      </c>
      <c r="M18" s="146">
        <f t="shared" si="20"/>
        <v>105793.67499999999</v>
      </c>
      <c r="N18" s="146">
        <f t="shared" si="19"/>
        <v>96725.224999999991</v>
      </c>
      <c r="O18" s="149">
        <f t="shared" si="5"/>
        <v>64.843421010952852</v>
      </c>
      <c r="P18" s="147">
        <f t="shared" si="19"/>
        <v>649970.78899999999</v>
      </c>
      <c r="Q18" s="148">
        <f t="shared" si="6"/>
        <v>14311.444999999949</v>
      </c>
      <c r="R18" s="149">
        <f t="shared" si="7"/>
        <v>102.20185972080662</v>
      </c>
      <c r="S18" s="148">
        <f t="shared" si="13"/>
        <v>682960.29999999993</v>
      </c>
      <c r="T18" s="148">
        <f t="shared" si="8"/>
        <v>-18678.065999999992</v>
      </c>
      <c r="U18" s="149">
        <f t="shared" si="9"/>
        <v>97.265131516429278</v>
      </c>
      <c r="W18" s="146">
        <f>W19+W20+W21+W23+W22</f>
        <v>569168.92500000005</v>
      </c>
      <c r="X18" s="148">
        <f t="shared" si="10"/>
        <v>95113.308999999892</v>
      </c>
      <c r="Y18" s="149">
        <f t="shared" si="14"/>
        <v>116.71091038569963</v>
      </c>
      <c r="Z18" s="104">
        <f>W20+W21+W19</f>
        <v>193384.91700000002</v>
      </c>
      <c r="AA18" s="104">
        <f>F19+F20+F21</f>
        <v>229227.34299999999</v>
      </c>
    </row>
    <row r="19" spans="1:28" s="85" customFormat="1" ht="29.25" customHeight="1" x14ac:dyDescent="0.25">
      <c r="A19" s="84" t="s">
        <v>151</v>
      </c>
      <c r="B19" s="127" t="s">
        <v>58</v>
      </c>
      <c r="C19" s="189" t="s">
        <v>43</v>
      </c>
      <c r="D19" s="150">
        <f>1213.85+13965.32+18822.08+58666</f>
        <v>92667.25</v>
      </c>
      <c r="E19" s="150">
        <v>92667.25</v>
      </c>
      <c r="F19" s="150">
        <f t="shared" si="15"/>
        <v>69986.983999999982</v>
      </c>
      <c r="G19" s="150">
        <v>9723.7669999999998</v>
      </c>
      <c r="H19" s="150">
        <v>3035.2689999999998</v>
      </c>
      <c r="I19" s="150">
        <v>4604.7759999999998</v>
      </c>
      <c r="J19" s="150">
        <v>15771.471</v>
      </c>
      <c r="K19" s="150">
        <v>6016.8990000000003</v>
      </c>
      <c r="L19" s="150">
        <v>6114.5559999999996</v>
      </c>
      <c r="M19" s="150">
        <v>18065.420999999998</v>
      </c>
      <c r="N19" s="150">
        <v>6654.8249999999998</v>
      </c>
      <c r="O19" s="151">
        <f t="shared" si="5"/>
        <v>75.525046874704898</v>
      </c>
      <c r="P19" s="93">
        <v>69219.441000000006</v>
      </c>
      <c r="Q19" s="94">
        <f t="shared" si="6"/>
        <v>767.54299999997602</v>
      </c>
      <c r="R19" s="151">
        <f t="shared" si="7"/>
        <v>101.10885466411088</v>
      </c>
      <c r="S19" s="102">
        <f t="shared" si="13"/>
        <v>61778.166666666664</v>
      </c>
      <c r="T19" s="94">
        <f t="shared" si="8"/>
        <v>8208.8173333333179</v>
      </c>
      <c r="U19" s="151">
        <f t="shared" si="9"/>
        <v>113.28757031205737</v>
      </c>
      <c r="W19" s="150">
        <v>48357.370999999999</v>
      </c>
      <c r="X19" s="94">
        <f t="shared" si="10"/>
        <v>21629.612999999983</v>
      </c>
      <c r="Y19" s="151">
        <f t="shared" si="14"/>
        <v>144.72867848833218</v>
      </c>
    </row>
    <row r="20" spans="1:28" s="85" customFormat="1" ht="29.25" customHeight="1" x14ac:dyDescent="0.25">
      <c r="A20" s="57" t="s">
        <v>152</v>
      </c>
      <c r="B20" s="127" t="s">
        <v>7</v>
      </c>
      <c r="C20" s="189"/>
      <c r="D20" s="150">
        <v>300000</v>
      </c>
      <c r="E20" s="150">
        <f>299591.5-402.5</f>
        <v>299189</v>
      </c>
      <c r="F20" s="150">
        <f t="shared" si="15"/>
        <v>158072.15700000001</v>
      </c>
      <c r="G20" s="150">
        <v>15633.511</v>
      </c>
      <c r="H20" s="150">
        <v>21109.749</v>
      </c>
      <c r="I20" s="150">
        <v>19376.571</v>
      </c>
      <c r="J20" s="150">
        <v>19580.672999999999</v>
      </c>
      <c r="K20" s="150">
        <v>20458.473999999998</v>
      </c>
      <c r="L20" s="150">
        <v>21838.977999999999</v>
      </c>
      <c r="M20" s="150">
        <v>21325.975999999999</v>
      </c>
      <c r="N20" s="150">
        <v>18748.224999999999</v>
      </c>
      <c r="O20" s="151">
        <f t="shared" si="5"/>
        <v>52.8335456851689</v>
      </c>
      <c r="P20" s="93">
        <v>156945.27100000001</v>
      </c>
      <c r="Q20" s="94">
        <f t="shared" si="6"/>
        <v>1126.8859999999986</v>
      </c>
      <c r="R20" s="151">
        <f t="shared" si="7"/>
        <v>100.71801207696154</v>
      </c>
      <c r="S20" s="148">
        <f t="shared" si="13"/>
        <v>199459.33333333334</v>
      </c>
      <c r="T20" s="94">
        <f t="shared" si="8"/>
        <v>-41387.176333333337</v>
      </c>
      <c r="U20" s="151">
        <f t="shared" si="9"/>
        <v>79.250318527753365</v>
      </c>
      <c r="W20" s="150">
        <v>143707.62300000002</v>
      </c>
      <c r="X20" s="94">
        <f t="shared" si="10"/>
        <v>14364.533999999985</v>
      </c>
      <c r="Y20" s="151">
        <f t="shared" si="14"/>
        <v>109.99566599191471</v>
      </c>
    </row>
    <row r="21" spans="1:28" s="85" customFormat="1" ht="29.25" customHeight="1" x14ac:dyDescent="0.25">
      <c r="A21" s="57" t="s">
        <v>153</v>
      </c>
      <c r="B21" s="127" t="s">
        <v>59</v>
      </c>
      <c r="C21" s="189"/>
      <c r="D21" s="150">
        <f>250+225</f>
        <v>475</v>
      </c>
      <c r="E21" s="150">
        <f>865+200</f>
        <v>1065</v>
      </c>
      <c r="F21" s="150">
        <f t="shared" si="15"/>
        <v>1168.202</v>
      </c>
      <c r="G21" s="150">
        <v>324.197</v>
      </c>
      <c r="H21" s="150">
        <v>49.052999999999997</v>
      </c>
      <c r="I21" s="150">
        <v>157.625</v>
      </c>
      <c r="J21" s="150">
        <v>242.58</v>
      </c>
      <c r="K21" s="150">
        <v>119.52200000000001</v>
      </c>
      <c r="L21" s="150">
        <v>44.167000000000002</v>
      </c>
      <c r="M21" s="150">
        <v>196.07599999999999</v>
      </c>
      <c r="N21" s="150">
        <v>34.981999999999999</v>
      </c>
      <c r="O21" s="151">
        <f t="shared" si="5"/>
        <v>109.69032863849766</v>
      </c>
      <c r="P21" s="93">
        <v>991</v>
      </c>
      <c r="Q21" s="94">
        <f t="shared" si="6"/>
        <v>177.202</v>
      </c>
      <c r="R21" s="151">
        <f t="shared" si="7"/>
        <v>117.88113017154389</v>
      </c>
      <c r="S21" s="148">
        <f t="shared" si="13"/>
        <v>710</v>
      </c>
      <c r="T21" s="94">
        <f t="shared" si="8"/>
        <v>458.202</v>
      </c>
      <c r="U21" s="151">
        <f t="shared" si="9"/>
        <v>164.53549295774647</v>
      </c>
      <c r="W21" s="150">
        <v>1319.9230000000002</v>
      </c>
      <c r="X21" s="94">
        <f t="shared" si="10"/>
        <v>-151.72100000000023</v>
      </c>
      <c r="Y21" s="151">
        <f t="shared" si="14"/>
        <v>88.505314325153805</v>
      </c>
      <c r="Z21" s="151">
        <f>100-Y21</f>
        <v>11.494685674846195</v>
      </c>
      <c r="AA21" s="86"/>
      <c r="AB21" s="87" t="e">
        <f>F19/#REF!*100</f>
        <v>#REF!</v>
      </c>
    </row>
    <row r="22" spans="1:28" s="89" customFormat="1" ht="29.25" customHeight="1" x14ac:dyDescent="0.25">
      <c r="A22" s="57" t="s">
        <v>154</v>
      </c>
      <c r="B22" s="127" t="s">
        <v>39</v>
      </c>
      <c r="C22" s="88" t="s">
        <v>38</v>
      </c>
      <c r="D22" s="150">
        <v>950</v>
      </c>
      <c r="E22" s="150">
        <v>950</v>
      </c>
      <c r="F22" s="150">
        <f t="shared" si="15"/>
        <v>985.04500000000007</v>
      </c>
      <c r="G22" s="150">
        <v>59.935000000000002</v>
      </c>
      <c r="H22" s="150">
        <v>134.36000000000001</v>
      </c>
      <c r="I22" s="150">
        <v>29.998000000000001</v>
      </c>
      <c r="J22" s="150">
        <v>85.495000000000005</v>
      </c>
      <c r="K22" s="150">
        <v>203.86</v>
      </c>
      <c r="L22" s="150">
        <v>68.84</v>
      </c>
      <c r="M22" s="150">
        <v>141.779</v>
      </c>
      <c r="N22" s="150">
        <v>260.77800000000002</v>
      </c>
      <c r="O22" s="151">
        <f t="shared" si="5"/>
        <v>103.68894736842107</v>
      </c>
      <c r="P22" s="93">
        <v>894.6</v>
      </c>
      <c r="Q22" s="94">
        <f t="shared" si="6"/>
        <v>90.44500000000005</v>
      </c>
      <c r="R22" s="151">
        <f t="shared" si="7"/>
        <v>110.11010507489381</v>
      </c>
      <c r="S22" s="148">
        <f t="shared" si="13"/>
        <v>633.33333333333337</v>
      </c>
      <c r="T22" s="94">
        <f t="shared" si="8"/>
        <v>351.7116666666667</v>
      </c>
      <c r="U22" s="151">
        <f t="shared" si="9"/>
        <v>155.53342105263158</v>
      </c>
      <c r="W22" s="150">
        <v>590.37099999999987</v>
      </c>
      <c r="X22" s="150">
        <f t="shared" si="10"/>
        <v>394.67400000000021</v>
      </c>
      <c r="Y22" s="151">
        <f t="shared" si="14"/>
        <v>166.85186094845449</v>
      </c>
    </row>
    <row r="23" spans="1:28" s="85" customFormat="1" ht="29.25" customHeight="1" x14ac:dyDescent="0.25">
      <c r="A23" s="57" t="s">
        <v>155</v>
      </c>
      <c r="B23" s="127" t="s">
        <v>32</v>
      </c>
      <c r="C23" s="170" t="s">
        <v>33</v>
      </c>
      <c r="D23" s="150">
        <v>630569.19999999995</v>
      </c>
      <c r="E23" s="150">
        <v>630569.19999999995</v>
      </c>
      <c r="F23" s="150">
        <f t="shared" si="15"/>
        <v>434069.84600000002</v>
      </c>
      <c r="G23" s="150">
        <v>49971.546999999999</v>
      </c>
      <c r="H23" s="150">
        <v>86717.376000000004</v>
      </c>
      <c r="I23" s="150">
        <v>20365.258999999998</v>
      </c>
      <c r="J23" s="150">
        <v>51064.404999999999</v>
      </c>
      <c r="K23" s="150">
        <v>68607.803</v>
      </c>
      <c r="L23" s="150">
        <v>20252.617999999999</v>
      </c>
      <c r="M23" s="150">
        <v>66064.422999999995</v>
      </c>
      <c r="N23" s="150">
        <v>71026.414999999994</v>
      </c>
      <c r="O23" s="151">
        <f t="shared" si="5"/>
        <v>68.837781166603122</v>
      </c>
      <c r="P23" s="93">
        <v>421920.47700000001</v>
      </c>
      <c r="Q23" s="94">
        <f t="shared" si="6"/>
        <v>12149.369000000006</v>
      </c>
      <c r="R23" s="151">
        <f t="shared" si="7"/>
        <v>102.87954002289395</v>
      </c>
      <c r="S23" s="148">
        <f t="shared" si="13"/>
        <v>420379.46666666662</v>
      </c>
      <c r="T23" s="94">
        <f t="shared" si="8"/>
        <v>13690.379333333403</v>
      </c>
      <c r="U23" s="151">
        <f t="shared" si="9"/>
        <v>103.25667174990471</v>
      </c>
      <c r="W23" s="150">
        <v>375193.63699999999</v>
      </c>
      <c r="X23" s="94">
        <f t="shared" si="10"/>
        <v>58876.209000000032</v>
      </c>
      <c r="Y23" s="151">
        <f t="shared" si="14"/>
        <v>115.69221948185653</v>
      </c>
      <c r="AA23" s="86"/>
      <c r="AB23" s="87" t="e">
        <f>F23/#REF!*100</f>
        <v>#REF!</v>
      </c>
    </row>
    <row r="24" spans="1:28" s="83" customFormat="1" ht="29.25" customHeight="1" x14ac:dyDescent="0.25">
      <c r="A24" s="141">
        <v>6</v>
      </c>
      <c r="B24" s="130" t="s">
        <v>158</v>
      </c>
      <c r="C24" s="142" t="s">
        <v>159</v>
      </c>
      <c r="D24" s="146"/>
      <c r="E24" s="146"/>
      <c r="F24" s="146">
        <f t="shared" si="15"/>
        <v>0</v>
      </c>
      <c r="G24" s="146">
        <v>0</v>
      </c>
      <c r="H24" s="146">
        <v>0</v>
      </c>
      <c r="I24" s="146">
        <v>0</v>
      </c>
      <c r="J24" s="146">
        <v>0</v>
      </c>
      <c r="K24" s="146">
        <v>0</v>
      </c>
      <c r="L24" s="146">
        <v>0</v>
      </c>
      <c r="M24" s="146">
        <v>0</v>
      </c>
      <c r="N24" s="146">
        <v>0</v>
      </c>
      <c r="O24" s="149"/>
      <c r="P24" s="147"/>
      <c r="Q24" s="94">
        <f t="shared" si="6"/>
        <v>0</v>
      </c>
      <c r="R24" s="149"/>
      <c r="S24" s="148">
        <f t="shared" si="13"/>
        <v>0</v>
      </c>
      <c r="T24" s="148">
        <f t="shared" si="8"/>
        <v>0</v>
      </c>
      <c r="U24" s="149"/>
      <c r="W24" s="146">
        <v>-1.8440000000000001</v>
      </c>
      <c r="X24" s="148">
        <f t="shared" si="10"/>
        <v>1.8440000000000001</v>
      </c>
      <c r="Y24" s="149"/>
      <c r="AA24" s="104"/>
      <c r="AB24" s="131"/>
    </row>
    <row r="25" spans="1:28" s="143" customFormat="1" ht="58.5" x14ac:dyDescent="0.25">
      <c r="A25" s="141">
        <f>A24+1</f>
        <v>7</v>
      </c>
      <c r="B25" s="61" t="s">
        <v>46</v>
      </c>
      <c r="C25" s="142" t="s">
        <v>17</v>
      </c>
      <c r="D25" s="146">
        <v>450</v>
      </c>
      <c r="E25" s="146">
        <v>450</v>
      </c>
      <c r="F25" s="146">
        <f t="shared" si="15"/>
        <v>604.05200000000002</v>
      </c>
      <c r="G25" s="146">
        <v>10</v>
      </c>
      <c r="H25" s="146">
        <v>63.488</v>
      </c>
      <c r="I25" s="146">
        <v>19.899000000000001</v>
      </c>
      <c r="J25" s="146">
        <v>46.183</v>
      </c>
      <c r="K25" s="146">
        <v>83.956999999999994</v>
      </c>
      <c r="L25" s="146">
        <v>0</v>
      </c>
      <c r="M25" s="146">
        <v>23.704000000000001</v>
      </c>
      <c r="N25" s="146">
        <v>356.82100000000003</v>
      </c>
      <c r="O25" s="149">
        <f t="shared" ref="O25:O42" si="21">F25/E25*100</f>
        <v>134.23377777777779</v>
      </c>
      <c r="P25" s="147">
        <v>450</v>
      </c>
      <c r="Q25" s="148">
        <f t="shared" si="6"/>
        <v>154.05200000000002</v>
      </c>
      <c r="R25" s="149">
        <f>F25/P25*100</f>
        <v>134.23377777777779</v>
      </c>
      <c r="S25" s="148">
        <f t="shared" si="13"/>
        <v>300</v>
      </c>
      <c r="T25" s="148">
        <f t="shared" si="8"/>
        <v>304.05200000000002</v>
      </c>
      <c r="U25" s="149">
        <f t="shared" ref="U25:U42" si="22">F25/S25*100</f>
        <v>201.35066666666668</v>
      </c>
      <c r="W25" s="146">
        <v>326.67399999999998</v>
      </c>
      <c r="X25" s="148">
        <f t="shared" si="10"/>
        <v>277.37800000000004</v>
      </c>
      <c r="Y25" s="149">
        <f>F25/W25*100</f>
        <v>184.90972651634351</v>
      </c>
      <c r="Z25" s="56">
        <f>100-Y25</f>
        <v>-84.909726516343511</v>
      </c>
    </row>
    <row r="26" spans="1:28" s="143" customFormat="1" ht="33" customHeight="1" x14ac:dyDescent="0.25">
      <c r="A26" s="141">
        <f t="shared" ref="A26:A33" si="23">A25+1</f>
        <v>8</v>
      </c>
      <c r="B26" s="61" t="s">
        <v>71</v>
      </c>
      <c r="C26" s="142" t="s">
        <v>70</v>
      </c>
      <c r="D26" s="146">
        <v>12000</v>
      </c>
      <c r="E26" s="146">
        <v>12000</v>
      </c>
      <c r="F26" s="146">
        <f t="shared" si="15"/>
        <v>10763.483000000002</v>
      </c>
      <c r="G26" s="146">
        <v>432.791</v>
      </c>
      <c r="H26" s="146">
        <v>1371.3440000000001</v>
      </c>
      <c r="I26" s="146">
        <v>1459.3430000000001</v>
      </c>
      <c r="J26" s="146">
        <v>1608.9</v>
      </c>
      <c r="K26" s="146">
        <v>1657.4580000000001</v>
      </c>
      <c r="L26" s="146">
        <v>1243.4580000000001</v>
      </c>
      <c r="M26" s="146">
        <v>1327.6010000000001</v>
      </c>
      <c r="N26" s="146">
        <v>1662.588</v>
      </c>
      <c r="O26" s="149">
        <f t="shared" si="21"/>
        <v>89.69569166666669</v>
      </c>
      <c r="P26" s="147">
        <v>10100</v>
      </c>
      <c r="Q26" s="148">
        <f t="shared" si="6"/>
        <v>663.48300000000199</v>
      </c>
      <c r="R26" s="149">
        <f>F26/P26*100</f>
        <v>106.56913861386141</v>
      </c>
      <c r="S26" s="148">
        <f t="shared" si="13"/>
        <v>8000</v>
      </c>
      <c r="T26" s="148">
        <f t="shared" si="8"/>
        <v>2763.483000000002</v>
      </c>
      <c r="U26" s="149">
        <f t="shared" si="22"/>
        <v>134.54353750000004</v>
      </c>
      <c r="W26" s="146">
        <v>22395.662</v>
      </c>
      <c r="X26" s="148">
        <f t="shared" si="10"/>
        <v>-11632.178999999998</v>
      </c>
      <c r="Y26" s="149">
        <f>F26/W26*100</f>
        <v>48.060570837334488</v>
      </c>
    </row>
    <row r="27" spans="1:28" s="143" customFormat="1" ht="33" customHeight="1" x14ac:dyDescent="0.25">
      <c r="A27" s="141">
        <f t="shared" si="23"/>
        <v>9</v>
      </c>
      <c r="B27" s="61" t="s">
        <v>8</v>
      </c>
      <c r="C27" s="142" t="s">
        <v>18</v>
      </c>
      <c r="D27" s="146">
        <v>5.5</v>
      </c>
      <c r="E27" s="146">
        <f>5.5+2.5</f>
        <v>8</v>
      </c>
      <c r="F27" s="146">
        <f t="shared" si="15"/>
        <v>6.0410000000000004</v>
      </c>
      <c r="G27" s="146">
        <v>0</v>
      </c>
      <c r="H27" s="146">
        <v>0.38100000000000001</v>
      </c>
      <c r="I27" s="146">
        <v>0</v>
      </c>
      <c r="J27" s="146">
        <v>0</v>
      </c>
      <c r="K27" s="146">
        <v>5.66</v>
      </c>
      <c r="L27" s="146">
        <v>0</v>
      </c>
      <c r="M27" s="146">
        <v>0</v>
      </c>
      <c r="N27" s="146">
        <v>0</v>
      </c>
      <c r="O27" s="149">
        <f t="shared" si="21"/>
        <v>75.512500000000003</v>
      </c>
      <c r="P27" s="147">
        <v>6</v>
      </c>
      <c r="Q27" s="148">
        <f t="shared" si="6"/>
        <v>4.1000000000000369E-2</v>
      </c>
      <c r="R27" s="149">
        <f>F27/P27*100</f>
        <v>100.68333333333335</v>
      </c>
      <c r="S27" s="148">
        <f t="shared" si="13"/>
        <v>5.333333333333333</v>
      </c>
      <c r="T27" s="148">
        <f t="shared" si="8"/>
        <v>0.70766666666666733</v>
      </c>
      <c r="U27" s="149">
        <f t="shared" si="22"/>
        <v>113.26875000000001</v>
      </c>
      <c r="W27" s="146">
        <v>5.4390000000000001</v>
      </c>
      <c r="X27" s="148">
        <f t="shared" si="10"/>
        <v>0.60200000000000031</v>
      </c>
      <c r="Y27" s="149">
        <f>F27/W27*100</f>
        <v>111.06821106821107</v>
      </c>
    </row>
    <row r="28" spans="1:28" s="143" customFormat="1" ht="78" x14ac:dyDescent="0.25">
      <c r="A28" s="141">
        <f t="shared" si="23"/>
        <v>10</v>
      </c>
      <c r="B28" s="166" t="s">
        <v>92</v>
      </c>
      <c r="C28" s="79" t="s">
        <v>93</v>
      </c>
      <c r="D28" s="146">
        <v>4.5</v>
      </c>
      <c r="E28" s="146">
        <v>4.5</v>
      </c>
      <c r="F28" s="146">
        <f t="shared" si="15"/>
        <v>0</v>
      </c>
      <c r="G28" s="146">
        <v>0</v>
      </c>
      <c r="H28" s="146">
        <v>0</v>
      </c>
      <c r="I28" s="146">
        <v>0</v>
      </c>
      <c r="J28" s="146">
        <v>0</v>
      </c>
      <c r="K28" s="146">
        <v>0</v>
      </c>
      <c r="L28" s="146">
        <v>0</v>
      </c>
      <c r="M28" s="146">
        <v>0</v>
      </c>
      <c r="N28" s="146">
        <v>0</v>
      </c>
      <c r="O28" s="149">
        <f t="shared" si="21"/>
        <v>0</v>
      </c>
      <c r="P28" s="147">
        <v>0</v>
      </c>
      <c r="Q28" s="148">
        <f t="shared" si="6"/>
        <v>0</v>
      </c>
      <c r="R28" s="149"/>
      <c r="S28" s="148">
        <f t="shared" si="13"/>
        <v>3</v>
      </c>
      <c r="T28" s="148">
        <f t="shared" si="8"/>
        <v>-3</v>
      </c>
      <c r="U28" s="149">
        <f t="shared" si="22"/>
        <v>0</v>
      </c>
      <c r="W28" s="146">
        <v>4.4080000000000004</v>
      </c>
      <c r="X28" s="148">
        <f t="shared" si="10"/>
        <v>-4.4080000000000004</v>
      </c>
      <c r="Y28" s="149"/>
    </row>
    <row r="29" spans="1:28" s="143" customFormat="1" ht="30.75" customHeight="1" x14ac:dyDescent="0.25">
      <c r="A29" s="141">
        <f t="shared" si="23"/>
        <v>11</v>
      </c>
      <c r="B29" s="156" t="s">
        <v>29</v>
      </c>
      <c r="C29" s="142" t="s">
        <v>24</v>
      </c>
      <c r="D29" s="146">
        <v>8804.73</v>
      </c>
      <c r="E29" s="146">
        <v>8804.73</v>
      </c>
      <c r="F29" s="146">
        <f t="shared" si="15"/>
        <v>8117.5609999999988</v>
      </c>
      <c r="G29" s="146">
        <v>497.94799999999998</v>
      </c>
      <c r="H29" s="146">
        <v>694.71299999999997</v>
      </c>
      <c r="I29" s="146">
        <v>893.96699999999998</v>
      </c>
      <c r="J29" s="146">
        <v>1137.1980000000001</v>
      </c>
      <c r="K29" s="146">
        <v>904.77499999999998</v>
      </c>
      <c r="L29" s="146">
        <v>1296.52</v>
      </c>
      <c r="M29" s="146">
        <v>1252.164</v>
      </c>
      <c r="N29" s="146">
        <v>1440.2760000000001</v>
      </c>
      <c r="O29" s="149">
        <f t="shared" si="21"/>
        <v>92.195456305871943</v>
      </c>
      <c r="P29" s="147">
        <v>7845.72</v>
      </c>
      <c r="Q29" s="148">
        <f t="shared" si="6"/>
        <v>271.84099999999853</v>
      </c>
      <c r="R29" s="149">
        <f t="shared" ref="R29:R40" si="24">F29/P29*100</f>
        <v>103.46483178089454</v>
      </c>
      <c r="S29" s="148">
        <f t="shared" si="13"/>
        <v>5869.82</v>
      </c>
      <c r="T29" s="148">
        <f t="shared" si="8"/>
        <v>2247.7409999999991</v>
      </c>
      <c r="U29" s="149">
        <f t="shared" si="22"/>
        <v>138.29318445880793</v>
      </c>
      <c r="W29" s="146">
        <v>2642.9650000000001</v>
      </c>
      <c r="X29" s="148">
        <f t="shared" si="10"/>
        <v>5474.5959999999986</v>
      </c>
      <c r="Y29" s="149">
        <f>F29/W29*100</f>
        <v>307.13842218871605</v>
      </c>
      <c r="Z29" s="56">
        <f>100-Y29</f>
        <v>-207.13842218871605</v>
      </c>
    </row>
    <row r="30" spans="1:28" s="143" customFormat="1" ht="58.5" x14ac:dyDescent="0.25">
      <c r="A30" s="141">
        <f t="shared" si="23"/>
        <v>12</v>
      </c>
      <c r="B30" s="156" t="s">
        <v>81</v>
      </c>
      <c r="C30" s="142" t="s">
        <v>80</v>
      </c>
      <c r="D30" s="146">
        <v>410</v>
      </c>
      <c r="E30" s="146">
        <v>410</v>
      </c>
      <c r="F30" s="146">
        <f t="shared" si="15"/>
        <v>358.32</v>
      </c>
      <c r="G30" s="146">
        <v>14.6</v>
      </c>
      <c r="H30" s="146">
        <v>13.6</v>
      </c>
      <c r="I30" s="146">
        <v>25.3</v>
      </c>
      <c r="J30" s="146">
        <v>43.42</v>
      </c>
      <c r="K30" s="146">
        <v>27.8</v>
      </c>
      <c r="L30" s="146">
        <v>70.8</v>
      </c>
      <c r="M30" s="146">
        <v>93.8</v>
      </c>
      <c r="N30" s="146">
        <v>69</v>
      </c>
      <c r="O30" s="149">
        <f t="shared" si="21"/>
        <v>87.395121951219508</v>
      </c>
      <c r="P30" s="147">
        <v>330.5</v>
      </c>
      <c r="Q30" s="148">
        <f t="shared" si="6"/>
        <v>27.819999999999993</v>
      </c>
      <c r="R30" s="149">
        <f t="shared" si="24"/>
        <v>108.41754916792739</v>
      </c>
      <c r="S30" s="148">
        <f t="shared" si="13"/>
        <v>273.33333333333331</v>
      </c>
      <c r="T30" s="148">
        <f t="shared" si="8"/>
        <v>84.986666666666679</v>
      </c>
      <c r="U30" s="149">
        <f t="shared" si="22"/>
        <v>131.09268292682927</v>
      </c>
      <c r="W30" s="146">
        <v>256.755</v>
      </c>
      <c r="X30" s="148">
        <f t="shared" si="10"/>
        <v>101.565</v>
      </c>
      <c r="Y30" s="149">
        <f>F30/W30*100</f>
        <v>139.55716539113163</v>
      </c>
    </row>
    <row r="31" spans="1:28" s="143" customFormat="1" ht="36.75" customHeight="1" x14ac:dyDescent="0.25">
      <c r="A31" s="141">
        <f t="shared" si="23"/>
        <v>13</v>
      </c>
      <c r="B31" s="156" t="s">
        <v>114</v>
      </c>
      <c r="C31" s="142" t="s">
        <v>115</v>
      </c>
      <c r="D31" s="146">
        <v>15000</v>
      </c>
      <c r="E31" s="146">
        <v>15000</v>
      </c>
      <c r="F31" s="146">
        <f t="shared" si="15"/>
        <v>11635.821999999998</v>
      </c>
      <c r="G31" s="146">
        <v>1342.5129999999999</v>
      </c>
      <c r="H31" s="146">
        <v>1648.6120000000001</v>
      </c>
      <c r="I31" s="146">
        <v>1521.1489999999999</v>
      </c>
      <c r="J31" s="146">
        <v>1266.5989999999999</v>
      </c>
      <c r="K31" s="146">
        <v>1452.096</v>
      </c>
      <c r="L31" s="146">
        <v>1385.58</v>
      </c>
      <c r="M31" s="146">
        <v>1432.884</v>
      </c>
      <c r="N31" s="146">
        <v>1586.3889999999999</v>
      </c>
      <c r="O31" s="149">
        <f t="shared" si="21"/>
        <v>77.572146666666654</v>
      </c>
      <c r="P31" s="147">
        <v>11307</v>
      </c>
      <c r="Q31" s="148">
        <f t="shared" si="6"/>
        <v>328.8219999999983</v>
      </c>
      <c r="R31" s="149">
        <f t="shared" si="24"/>
        <v>102.90812770849915</v>
      </c>
      <c r="S31" s="148">
        <f t="shared" si="13"/>
        <v>10000</v>
      </c>
      <c r="T31" s="148">
        <f t="shared" si="8"/>
        <v>1635.8219999999983</v>
      </c>
      <c r="U31" s="149">
        <f t="shared" si="22"/>
        <v>116.35821999999997</v>
      </c>
      <c r="W31" s="146">
        <v>9275.6539999999986</v>
      </c>
      <c r="X31" s="148">
        <f t="shared" si="10"/>
        <v>2360.1679999999997</v>
      </c>
      <c r="Y31" s="149">
        <f>F31/W31*100</f>
        <v>125.44476109177853</v>
      </c>
    </row>
    <row r="32" spans="1:28" s="143" customFormat="1" ht="78" x14ac:dyDescent="0.25">
      <c r="A32" s="141">
        <f t="shared" si="23"/>
        <v>14</v>
      </c>
      <c r="B32" s="156" t="s">
        <v>170</v>
      </c>
      <c r="C32" s="142" t="s">
        <v>169</v>
      </c>
      <c r="D32" s="146">
        <v>0</v>
      </c>
      <c r="E32" s="146">
        <v>10</v>
      </c>
      <c r="F32" s="146">
        <f t="shared" si="15"/>
        <v>22.599999999999998</v>
      </c>
      <c r="G32" s="146">
        <v>0</v>
      </c>
      <c r="H32" s="146">
        <v>0</v>
      </c>
      <c r="I32" s="146">
        <v>3.3180000000000001</v>
      </c>
      <c r="J32" s="146">
        <v>1.0720000000000001</v>
      </c>
      <c r="K32" s="146">
        <v>2.61</v>
      </c>
      <c r="L32" s="146">
        <v>1.2</v>
      </c>
      <c r="M32" s="146">
        <v>7.2</v>
      </c>
      <c r="N32" s="146">
        <v>7.2</v>
      </c>
      <c r="O32" s="149">
        <f t="shared" si="21"/>
        <v>225.99999999999997</v>
      </c>
      <c r="P32" s="147">
        <v>10</v>
      </c>
      <c r="Q32" s="148">
        <f t="shared" si="6"/>
        <v>12.599999999999998</v>
      </c>
      <c r="R32" s="149">
        <f t="shared" si="24"/>
        <v>225.99999999999997</v>
      </c>
      <c r="S32" s="148">
        <f t="shared" si="13"/>
        <v>6.666666666666667</v>
      </c>
      <c r="T32" s="148">
        <f t="shared" si="8"/>
        <v>15.93333333333333</v>
      </c>
      <c r="U32" s="149">
        <f t="shared" si="22"/>
        <v>338.99999999999994</v>
      </c>
      <c r="W32" s="146">
        <v>0</v>
      </c>
      <c r="X32" s="148">
        <f t="shared" si="10"/>
        <v>22.599999999999998</v>
      </c>
      <c r="Y32" s="149"/>
    </row>
    <row r="33" spans="1:32" s="143" customFormat="1" ht="34.5" customHeight="1" x14ac:dyDescent="0.25">
      <c r="A33" s="141">
        <f t="shared" si="23"/>
        <v>15</v>
      </c>
      <c r="B33" s="156" t="s">
        <v>83</v>
      </c>
      <c r="C33" s="142" t="s">
        <v>82</v>
      </c>
      <c r="D33" s="146">
        <f>SUM(D34:D37)</f>
        <v>27762.799999999999</v>
      </c>
      <c r="E33" s="146">
        <f>SUM(E34:E37)</f>
        <v>27762.799999999999</v>
      </c>
      <c r="F33" s="146">
        <f t="shared" si="15"/>
        <v>21902.830999999998</v>
      </c>
      <c r="G33" s="146">
        <f t="shared" ref="G33:P33" si="25">SUM(G34:G37)</f>
        <v>2016.3869999999997</v>
      </c>
      <c r="H33" s="146">
        <f t="shared" ref="H33:M33" si="26">SUM(H34:H37)</f>
        <v>2147.1390000000001</v>
      </c>
      <c r="I33" s="146">
        <f t="shared" si="26"/>
        <v>2556.277</v>
      </c>
      <c r="J33" s="146">
        <f t="shared" si="26"/>
        <v>2848.3900000000003</v>
      </c>
      <c r="K33" s="146">
        <f t="shared" si="26"/>
        <v>2767.8540000000003</v>
      </c>
      <c r="L33" s="146">
        <f t="shared" si="26"/>
        <v>3005.6840000000002</v>
      </c>
      <c r="M33" s="146">
        <f t="shared" si="26"/>
        <v>3450.6730000000002</v>
      </c>
      <c r="N33" s="146">
        <f t="shared" si="25"/>
        <v>3110.4269999999997</v>
      </c>
      <c r="O33" s="149">
        <f t="shared" si="21"/>
        <v>78.892730560318128</v>
      </c>
      <c r="P33" s="147">
        <f t="shared" si="25"/>
        <v>21380.600000000002</v>
      </c>
      <c r="Q33" s="148">
        <f t="shared" si="6"/>
        <v>522.23099999999613</v>
      </c>
      <c r="R33" s="149">
        <f t="shared" si="24"/>
        <v>102.4425460464159</v>
      </c>
      <c r="S33" s="148">
        <f t="shared" si="13"/>
        <v>18508.533333333333</v>
      </c>
      <c r="T33" s="148">
        <f t="shared" si="8"/>
        <v>3394.2976666666655</v>
      </c>
      <c r="U33" s="149">
        <f t="shared" si="22"/>
        <v>118.33909584047717</v>
      </c>
      <c r="W33" s="146">
        <f t="shared" ref="W33" si="27">SUM(W34:W37)</f>
        <v>16181.316999999999</v>
      </c>
      <c r="X33" s="148">
        <f t="shared" si="10"/>
        <v>5721.5139999999992</v>
      </c>
      <c r="Y33" s="149">
        <f t="shared" ref="Y33:Y39" si="28">F33/W33*100</f>
        <v>135.35876591503646</v>
      </c>
    </row>
    <row r="34" spans="1:32" s="60" customFormat="1" ht="58.5" x14ac:dyDescent="0.25">
      <c r="A34" s="57" t="s">
        <v>171</v>
      </c>
      <c r="B34" s="95" t="s">
        <v>75</v>
      </c>
      <c r="C34" s="170" t="s">
        <v>74</v>
      </c>
      <c r="D34" s="150">
        <v>1300</v>
      </c>
      <c r="E34" s="150">
        <v>1300</v>
      </c>
      <c r="F34" s="150">
        <f t="shared" si="15"/>
        <v>1025.126</v>
      </c>
      <c r="G34" s="150">
        <v>91.153999999999996</v>
      </c>
      <c r="H34" s="150">
        <v>123.645</v>
      </c>
      <c r="I34" s="150">
        <v>141.91800000000001</v>
      </c>
      <c r="J34" s="150">
        <v>141.23099999999999</v>
      </c>
      <c r="K34" s="150">
        <v>108.44</v>
      </c>
      <c r="L34" s="150">
        <v>153.00200000000001</v>
      </c>
      <c r="M34" s="150">
        <v>113.806</v>
      </c>
      <c r="N34" s="150">
        <v>151.93</v>
      </c>
      <c r="O34" s="151">
        <f t="shared" si="21"/>
        <v>78.855846153846159</v>
      </c>
      <c r="P34" s="93">
        <v>1021</v>
      </c>
      <c r="Q34" s="94">
        <f t="shared" si="6"/>
        <v>4.1259999999999764</v>
      </c>
      <c r="R34" s="151">
        <f t="shared" si="24"/>
        <v>100.40411361410382</v>
      </c>
      <c r="S34" s="148">
        <f t="shared" si="13"/>
        <v>866.66666666666663</v>
      </c>
      <c r="T34" s="94">
        <f t="shared" si="8"/>
        <v>158.45933333333335</v>
      </c>
      <c r="U34" s="151">
        <f t="shared" si="22"/>
        <v>118.28376923076924</v>
      </c>
      <c r="W34" s="150">
        <v>752.43499999999995</v>
      </c>
      <c r="X34" s="94">
        <f t="shared" si="10"/>
        <v>272.69100000000003</v>
      </c>
      <c r="Y34" s="151">
        <f t="shared" si="28"/>
        <v>136.24113710818875</v>
      </c>
      <c r="Z34" s="151">
        <f>Y34-100</f>
        <v>36.241137108188752</v>
      </c>
      <c r="AA34" s="58"/>
    </row>
    <row r="35" spans="1:32" s="60" customFormat="1" ht="30.75" customHeight="1" x14ac:dyDescent="0.25">
      <c r="A35" s="57" t="s">
        <v>172</v>
      </c>
      <c r="B35" s="96" t="s">
        <v>60</v>
      </c>
      <c r="C35" s="49" t="s">
        <v>61</v>
      </c>
      <c r="D35" s="150">
        <v>24922.799999999999</v>
      </c>
      <c r="E35" s="150">
        <v>24922.799999999999</v>
      </c>
      <c r="F35" s="150">
        <f t="shared" si="15"/>
        <v>19952.608</v>
      </c>
      <c r="G35" s="150">
        <v>1816.0039999999999</v>
      </c>
      <c r="H35" s="150">
        <v>1889.204</v>
      </c>
      <c r="I35" s="150">
        <v>2281.4290000000001</v>
      </c>
      <c r="J35" s="150">
        <v>2605.2289999999998</v>
      </c>
      <c r="K35" s="150">
        <v>2552.5940000000001</v>
      </c>
      <c r="L35" s="150">
        <v>2747.3620000000001</v>
      </c>
      <c r="M35" s="150">
        <v>3191.1350000000002</v>
      </c>
      <c r="N35" s="150">
        <v>2869.6509999999998</v>
      </c>
      <c r="O35" s="151">
        <f t="shared" si="21"/>
        <v>80.057650023271862</v>
      </c>
      <c r="P35" s="93">
        <v>19439.400000000001</v>
      </c>
      <c r="Q35" s="94">
        <f t="shared" si="6"/>
        <v>513.20799999999872</v>
      </c>
      <c r="R35" s="151">
        <f t="shared" si="24"/>
        <v>102.64004033046288</v>
      </c>
      <c r="S35" s="148">
        <f t="shared" si="13"/>
        <v>16615.2</v>
      </c>
      <c r="T35" s="94">
        <f t="shared" si="8"/>
        <v>3337.4079999999994</v>
      </c>
      <c r="U35" s="151">
        <f t="shared" si="22"/>
        <v>120.08647503490779</v>
      </c>
      <c r="W35" s="150">
        <v>14580.844999999999</v>
      </c>
      <c r="X35" s="94">
        <f t="shared" si="10"/>
        <v>5371.7630000000008</v>
      </c>
      <c r="Y35" s="151">
        <f t="shared" si="28"/>
        <v>136.84123245257734</v>
      </c>
      <c r="Z35" s="151">
        <f>Y35-100</f>
        <v>36.841232452577344</v>
      </c>
      <c r="AA35" s="59"/>
    </row>
    <row r="36" spans="1:32" s="60" customFormat="1" ht="39" x14ac:dyDescent="0.25">
      <c r="A36" s="57" t="s">
        <v>173</v>
      </c>
      <c r="B36" s="96" t="s">
        <v>79</v>
      </c>
      <c r="C36" s="49" t="s">
        <v>76</v>
      </c>
      <c r="D36" s="150">
        <v>1400</v>
      </c>
      <c r="E36" s="150">
        <v>1400</v>
      </c>
      <c r="F36" s="150">
        <f t="shared" si="15"/>
        <v>862.50699999999983</v>
      </c>
      <c r="G36" s="150">
        <v>106.899</v>
      </c>
      <c r="H36" s="150">
        <v>124.08</v>
      </c>
      <c r="I36" s="150">
        <v>126.35</v>
      </c>
      <c r="J36" s="150">
        <v>100.11</v>
      </c>
      <c r="K36" s="150">
        <v>101.36</v>
      </c>
      <c r="L36" s="150">
        <v>96.92</v>
      </c>
      <c r="M36" s="150">
        <v>134.38200000000001</v>
      </c>
      <c r="N36" s="150">
        <v>72.406000000000006</v>
      </c>
      <c r="O36" s="151">
        <f t="shared" si="21"/>
        <v>61.607642857142842</v>
      </c>
      <c r="P36" s="93">
        <v>857.8</v>
      </c>
      <c r="Q36" s="94">
        <f t="shared" si="6"/>
        <v>4.7069999999998799</v>
      </c>
      <c r="R36" s="151">
        <f t="shared" si="24"/>
        <v>100.54872930753088</v>
      </c>
      <c r="S36" s="148">
        <f t="shared" si="13"/>
        <v>933.33333333333337</v>
      </c>
      <c r="T36" s="94">
        <f t="shared" si="8"/>
        <v>-70.826333333333537</v>
      </c>
      <c r="U36" s="151">
        <f t="shared" si="22"/>
        <v>92.41146428571426</v>
      </c>
      <c r="W36" s="150">
        <v>758.54300000000001</v>
      </c>
      <c r="X36" s="94">
        <f t="shared" si="10"/>
        <v>103.96399999999983</v>
      </c>
      <c r="Y36" s="151">
        <f t="shared" si="28"/>
        <v>113.70574904784564</v>
      </c>
    </row>
    <row r="37" spans="1:32" s="60" customFormat="1" ht="117" x14ac:dyDescent="0.25">
      <c r="A37" s="57" t="s">
        <v>174</v>
      </c>
      <c r="B37" s="97" t="s">
        <v>78</v>
      </c>
      <c r="C37" s="49" t="s">
        <v>77</v>
      </c>
      <c r="D37" s="150">
        <v>140</v>
      </c>
      <c r="E37" s="150">
        <v>140</v>
      </c>
      <c r="F37" s="150">
        <f t="shared" si="15"/>
        <v>62.59</v>
      </c>
      <c r="G37" s="150">
        <v>2.33</v>
      </c>
      <c r="H37" s="150">
        <v>10.210000000000001</v>
      </c>
      <c r="I37" s="150">
        <v>6.58</v>
      </c>
      <c r="J37" s="150">
        <v>1.82</v>
      </c>
      <c r="K37" s="150">
        <v>5.46</v>
      </c>
      <c r="L37" s="150">
        <v>8.4</v>
      </c>
      <c r="M37" s="150">
        <v>11.35</v>
      </c>
      <c r="N37" s="150">
        <v>16.440000000000001</v>
      </c>
      <c r="O37" s="151">
        <f t="shared" si="21"/>
        <v>44.707142857142863</v>
      </c>
      <c r="P37" s="93">
        <v>62.4</v>
      </c>
      <c r="Q37" s="94">
        <f t="shared" si="6"/>
        <v>0.19000000000000483</v>
      </c>
      <c r="R37" s="151">
        <f t="shared" si="24"/>
        <v>100.30448717948718</v>
      </c>
      <c r="S37" s="148">
        <f t="shared" si="13"/>
        <v>93.333333333333329</v>
      </c>
      <c r="T37" s="94">
        <f t="shared" si="8"/>
        <v>-30.743333333333325</v>
      </c>
      <c r="U37" s="151">
        <f t="shared" si="22"/>
        <v>67.060714285714297</v>
      </c>
      <c r="W37" s="150">
        <v>89.494</v>
      </c>
      <c r="X37" s="94">
        <f t="shared" si="10"/>
        <v>-26.903999999999996</v>
      </c>
      <c r="Y37" s="151">
        <f t="shared" si="28"/>
        <v>69.937649451359874</v>
      </c>
    </row>
    <row r="38" spans="1:32" s="143" customFormat="1" ht="45.75" customHeight="1" x14ac:dyDescent="0.25">
      <c r="A38" s="141">
        <v>16</v>
      </c>
      <c r="B38" s="166" t="s">
        <v>34</v>
      </c>
      <c r="C38" s="142" t="s">
        <v>19</v>
      </c>
      <c r="D38" s="146">
        <v>12000</v>
      </c>
      <c r="E38" s="146">
        <v>12000</v>
      </c>
      <c r="F38" s="146">
        <f t="shared" si="15"/>
        <v>7634.2310000000007</v>
      </c>
      <c r="G38" s="146">
        <v>886.822</v>
      </c>
      <c r="H38" s="146">
        <v>956.88</v>
      </c>
      <c r="I38" s="146">
        <v>1008.902</v>
      </c>
      <c r="J38" s="146">
        <v>874.19399999999996</v>
      </c>
      <c r="K38" s="146">
        <v>1016.393</v>
      </c>
      <c r="L38" s="146">
        <v>1026.453</v>
      </c>
      <c r="M38" s="146">
        <v>1010.407</v>
      </c>
      <c r="N38" s="146">
        <v>854.18</v>
      </c>
      <c r="O38" s="149">
        <f t="shared" si="21"/>
        <v>63.618591666666667</v>
      </c>
      <c r="P38" s="147">
        <v>7632.1</v>
      </c>
      <c r="Q38" s="148">
        <f t="shared" si="6"/>
        <v>2.1310000000003129</v>
      </c>
      <c r="R38" s="149">
        <f t="shared" si="24"/>
        <v>100.02792154190851</v>
      </c>
      <c r="S38" s="148">
        <f t="shared" si="13"/>
        <v>8000</v>
      </c>
      <c r="T38" s="148">
        <f t="shared" si="8"/>
        <v>-365.76899999999932</v>
      </c>
      <c r="U38" s="149">
        <f t="shared" si="22"/>
        <v>95.427887500000011</v>
      </c>
      <c r="W38" s="146">
        <v>7181.369999999999</v>
      </c>
      <c r="X38" s="148">
        <f t="shared" si="10"/>
        <v>452.8610000000017</v>
      </c>
      <c r="Y38" s="149">
        <f t="shared" si="28"/>
        <v>106.30605302330895</v>
      </c>
    </row>
    <row r="39" spans="1:32" s="143" customFormat="1" ht="32.25" customHeight="1" x14ac:dyDescent="0.25">
      <c r="A39" s="141">
        <f t="shared" ref="A39:A46" si="29">A38+1</f>
        <v>17</v>
      </c>
      <c r="B39" s="61" t="s">
        <v>54</v>
      </c>
      <c r="C39" s="142" t="s">
        <v>15</v>
      </c>
      <c r="D39" s="146">
        <v>600.5</v>
      </c>
      <c r="E39" s="146">
        <v>600.5</v>
      </c>
      <c r="F39" s="146">
        <f t="shared" si="15"/>
        <v>351.31699999999995</v>
      </c>
      <c r="G39" s="146">
        <v>33.802</v>
      </c>
      <c r="H39" s="146">
        <v>36.167000000000002</v>
      </c>
      <c r="I39" s="146">
        <v>43.429000000000002</v>
      </c>
      <c r="J39" s="146">
        <v>38.436999999999998</v>
      </c>
      <c r="K39" s="146">
        <v>36.195</v>
      </c>
      <c r="L39" s="146">
        <v>65.909000000000006</v>
      </c>
      <c r="M39" s="146">
        <v>47.518999999999998</v>
      </c>
      <c r="N39" s="146">
        <v>49.859000000000002</v>
      </c>
      <c r="O39" s="149">
        <f t="shared" si="21"/>
        <v>58.50407993338883</v>
      </c>
      <c r="P39" s="147">
        <v>344.34500000000003</v>
      </c>
      <c r="Q39" s="148">
        <f t="shared" ref="Q39:Q60" si="30">F39-P39</f>
        <v>6.9719999999999231</v>
      </c>
      <c r="R39" s="149">
        <f t="shared" si="24"/>
        <v>102.02471358666452</v>
      </c>
      <c r="S39" s="148">
        <f t="shared" si="13"/>
        <v>400.33333333333331</v>
      </c>
      <c r="T39" s="148">
        <f t="shared" ref="T39:T69" si="31">F39-S39</f>
        <v>-49.016333333333364</v>
      </c>
      <c r="U39" s="149">
        <f t="shared" si="22"/>
        <v>87.756119900083249</v>
      </c>
      <c r="W39" s="146">
        <v>344.23699999999997</v>
      </c>
      <c r="X39" s="148">
        <f t="shared" ref="X39:X69" si="32">F39-W39</f>
        <v>7.0799999999999841</v>
      </c>
      <c r="Y39" s="149">
        <f t="shared" si="28"/>
        <v>102.05672254870916</v>
      </c>
      <c r="Z39" s="56">
        <f>100-Y39</f>
        <v>-2.0567225487091605</v>
      </c>
    </row>
    <row r="40" spans="1:32" s="143" customFormat="1" ht="97.5" x14ac:dyDescent="0.25">
      <c r="A40" s="141">
        <f t="shared" si="29"/>
        <v>18</v>
      </c>
      <c r="B40" s="61" t="s">
        <v>100</v>
      </c>
      <c r="C40" s="142" t="s">
        <v>99</v>
      </c>
      <c r="D40" s="146">
        <v>2.5499999999999998</v>
      </c>
      <c r="E40" s="146">
        <v>2.5499999999999998</v>
      </c>
      <c r="F40" s="146">
        <f t="shared" si="15"/>
        <v>2.6</v>
      </c>
      <c r="G40" s="146">
        <v>0</v>
      </c>
      <c r="H40" s="146">
        <v>0</v>
      </c>
      <c r="I40" s="146">
        <v>0</v>
      </c>
      <c r="J40" s="146">
        <v>0</v>
      </c>
      <c r="K40" s="146">
        <v>0</v>
      </c>
      <c r="L40" s="146">
        <v>0</v>
      </c>
      <c r="M40" s="146">
        <v>0</v>
      </c>
      <c r="N40" s="146">
        <v>2.6</v>
      </c>
      <c r="O40" s="149">
        <f t="shared" si="21"/>
        <v>101.96078431372551</v>
      </c>
      <c r="P40" s="147">
        <v>2.5499999999999998</v>
      </c>
      <c r="Q40" s="148">
        <f t="shared" si="30"/>
        <v>5.0000000000000266E-2</v>
      </c>
      <c r="R40" s="149">
        <f t="shared" si="24"/>
        <v>101.96078431372551</v>
      </c>
      <c r="S40" s="148">
        <f t="shared" si="13"/>
        <v>1.7</v>
      </c>
      <c r="T40" s="148">
        <f t="shared" si="31"/>
        <v>0.90000000000000013</v>
      </c>
      <c r="U40" s="149">
        <f t="shared" si="22"/>
        <v>152.94117647058826</v>
      </c>
      <c r="W40" s="146">
        <v>0</v>
      </c>
      <c r="X40" s="148">
        <f t="shared" si="32"/>
        <v>2.6</v>
      </c>
      <c r="Y40" s="149"/>
    </row>
    <row r="41" spans="1:32" s="143" customFormat="1" ht="34.5" customHeight="1" x14ac:dyDescent="0.25">
      <c r="A41" s="141">
        <f t="shared" si="29"/>
        <v>19</v>
      </c>
      <c r="B41" s="82" t="s">
        <v>62</v>
      </c>
      <c r="C41" s="25" t="s">
        <v>63</v>
      </c>
      <c r="D41" s="146">
        <v>70</v>
      </c>
      <c r="E41" s="146">
        <f>70+200</f>
        <v>270</v>
      </c>
      <c r="F41" s="146">
        <f t="shared" si="15"/>
        <v>230.22200000000001</v>
      </c>
      <c r="G41" s="146">
        <v>0</v>
      </c>
      <c r="H41" s="146">
        <v>0</v>
      </c>
      <c r="I41" s="146">
        <v>0</v>
      </c>
      <c r="J41" s="146">
        <v>0</v>
      </c>
      <c r="K41" s="146">
        <v>0</v>
      </c>
      <c r="L41" s="146">
        <v>230.22200000000001</v>
      </c>
      <c r="M41" s="146">
        <v>0</v>
      </c>
      <c r="N41" s="146">
        <v>0</v>
      </c>
      <c r="O41" s="149">
        <f t="shared" si="21"/>
        <v>85.267407407407418</v>
      </c>
      <c r="P41" s="147">
        <v>230</v>
      </c>
      <c r="Q41" s="148">
        <f t="shared" si="30"/>
        <v>0.22200000000000841</v>
      </c>
      <c r="R41" s="149">
        <f>F41/P41*100</f>
        <v>100.09652173913044</v>
      </c>
      <c r="S41" s="148">
        <f t="shared" si="13"/>
        <v>180</v>
      </c>
      <c r="T41" s="148">
        <f t="shared" si="31"/>
        <v>50.222000000000008</v>
      </c>
      <c r="U41" s="149">
        <f t="shared" si="22"/>
        <v>127.90111111111111</v>
      </c>
      <c r="W41" s="146">
        <v>0</v>
      </c>
      <c r="X41" s="148">
        <f t="shared" si="32"/>
        <v>230.22200000000001</v>
      </c>
      <c r="Y41" s="149"/>
    </row>
    <row r="42" spans="1:32" s="143" customFormat="1" ht="36" customHeight="1" x14ac:dyDescent="0.25">
      <c r="A42" s="141">
        <f t="shared" si="29"/>
        <v>20</v>
      </c>
      <c r="B42" s="61" t="s">
        <v>8</v>
      </c>
      <c r="C42" s="142" t="s">
        <v>20</v>
      </c>
      <c r="D42" s="146">
        <v>1400</v>
      </c>
      <c r="E42" s="146">
        <v>1400</v>
      </c>
      <c r="F42" s="146">
        <f t="shared" si="15"/>
        <v>1192.4590000000001</v>
      </c>
      <c r="G42" s="146">
        <v>161.375</v>
      </c>
      <c r="H42" s="146">
        <v>156.322</v>
      </c>
      <c r="I42" s="146">
        <v>144.40100000000001</v>
      </c>
      <c r="J42" s="146">
        <v>126.51600000000001</v>
      </c>
      <c r="K42" s="146">
        <v>134.447</v>
      </c>
      <c r="L42" s="146">
        <v>125.53100000000001</v>
      </c>
      <c r="M42" s="146">
        <v>199.05099999999999</v>
      </c>
      <c r="N42" s="146">
        <v>144.816</v>
      </c>
      <c r="O42" s="149">
        <f t="shared" si="21"/>
        <v>85.175642857142861</v>
      </c>
      <c r="P42" s="147">
        <v>1122</v>
      </c>
      <c r="Q42" s="148">
        <f t="shared" si="30"/>
        <v>70.45900000000006</v>
      </c>
      <c r="R42" s="149">
        <f>F42/P42*100</f>
        <v>106.27976827094474</v>
      </c>
      <c r="S42" s="148">
        <f t="shared" si="13"/>
        <v>933.33333333333337</v>
      </c>
      <c r="T42" s="148">
        <f t="shared" si="31"/>
        <v>259.12566666666669</v>
      </c>
      <c r="U42" s="149">
        <f t="shared" si="22"/>
        <v>127.76346428571428</v>
      </c>
      <c r="W42" s="146">
        <v>41523.909999999996</v>
      </c>
      <c r="X42" s="148">
        <f t="shared" si="32"/>
        <v>-40331.450999999994</v>
      </c>
      <c r="Y42" s="149">
        <f>F42/W42*100</f>
        <v>2.8717406429211509</v>
      </c>
      <c r="AC42" s="143">
        <v>246438.04</v>
      </c>
    </row>
    <row r="43" spans="1:32" s="143" customFormat="1" ht="67.5" customHeight="1" x14ac:dyDescent="0.25">
      <c r="A43" s="141">
        <f t="shared" si="29"/>
        <v>21</v>
      </c>
      <c r="B43" s="61" t="s">
        <v>167</v>
      </c>
      <c r="C43" s="142" t="s">
        <v>166</v>
      </c>
      <c r="D43" s="146">
        <v>0</v>
      </c>
      <c r="E43" s="146">
        <v>0</v>
      </c>
      <c r="F43" s="146">
        <f t="shared" si="15"/>
        <v>0</v>
      </c>
      <c r="G43" s="146">
        <v>0</v>
      </c>
      <c r="H43" s="146">
        <v>0</v>
      </c>
      <c r="I43" s="146">
        <v>0</v>
      </c>
      <c r="J43" s="146">
        <v>0</v>
      </c>
      <c r="K43" s="146">
        <v>0</v>
      </c>
      <c r="L43" s="146">
        <v>0</v>
      </c>
      <c r="M43" s="146">
        <v>0</v>
      </c>
      <c r="N43" s="146">
        <v>0</v>
      </c>
      <c r="O43" s="149"/>
      <c r="P43" s="147">
        <v>0</v>
      </c>
      <c r="Q43" s="148">
        <f t="shared" si="30"/>
        <v>0</v>
      </c>
      <c r="R43" s="149"/>
      <c r="S43" s="148">
        <f t="shared" si="13"/>
        <v>0</v>
      </c>
      <c r="T43" s="148">
        <f t="shared" si="31"/>
        <v>0</v>
      </c>
      <c r="U43" s="149"/>
      <c r="W43" s="146">
        <v>87.876999999999995</v>
      </c>
      <c r="X43" s="148">
        <f t="shared" si="32"/>
        <v>-87.876999999999995</v>
      </c>
      <c r="Y43" s="149"/>
    </row>
    <row r="44" spans="1:32" s="143" customFormat="1" ht="147.75" customHeight="1" x14ac:dyDescent="0.25">
      <c r="A44" s="141">
        <f t="shared" si="29"/>
        <v>22</v>
      </c>
      <c r="B44" s="61" t="s">
        <v>53</v>
      </c>
      <c r="C44" s="142" t="s">
        <v>47</v>
      </c>
      <c r="D44" s="146">
        <v>1000</v>
      </c>
      <c r="E44" s="146">
        <v>1000</v>
      </c>
      <c r="F44" s="146">
        <f t="shared" si="15"/>
        <v>928.50599999999986</v>
      </c>
      <c r="G44" s="146">
        <v>2.294</v>
      </c>
      <c r="H44" s="146">
        <v>266.43799999999999</v>
      </c>
      <c r="I44" s="146">
        <v>61.570999999999998</v>
      </c>
      <c r="J44" s="146">
        <v>32.951000000000001</v>
      </c>
      <c r="K44" s="146">
        <v>52.198</v>
      </c>
      <c r="L44" s="146">
        <v>378.97300000000001</v>
      </c>
      <c r="M44" s="146">
        <v>2.1840000000000002</v>
      </c>
      <c r="N44" s="146">
        <v>131.89699999999999</v>
      </c>
      <c r="O44" s="149">
        <f>F44/E44*100</f>
        <v>92.850599999999986</v>
      </c>
      <c r="P44" s="147">
        <v>918.3</v>
      </c>
      <c r="Q44" s="148">
        <f t="shared" si="30"/>
        <v>10.205999999999904</v>
      </c>
      <c r="R44" s="149">
        <f>F44/P44*100</f>
        <v>101.11140150277687</v>
      </c>
      <c r="S44" s="148">
        <f t="shared" si="13"/>
        <v>666.66666666666663</v>
      </c>
      <c r="T44" s="148">
        <f t="shared" si="31"/>
        <v>261.83933333333323</v>
      </c>
      <c r="U44" s="149">
        <f>F44/S44*100</f>
        <v>139.27589999999998</v>
      </c>
      <c r="W44" s="146">
        <v>934.90100000000007</v>
      </c>
      <c r="X44" s="148">
        <f t="shared" si="32"/>
        <v>-6.3950000000002092</v>
      </c>
      <c r="Y44" s="149">
        <f>F44/W44*100</f>
        <v>99.31597035408025</v>
      </c>
      <c r="AB44" s="143">
        <v>308493.50900000002</v>
      </c>
    </row>
    <row r="45" spans="1:32" s="143" customFormat="1" ht="78" x14ac:dyDescent="0.25">
      <c r="A45" s="141">
        <f t="shared" si="29"/>
        <v>23</v>
      </c>
      <c r="B45" s="61" t="s">
        <v>130</v>
      </c>
      <c r="C45" s="142" t="s">
        <v>129</v>
      </c>
      <c r="D45" s="146">
        <v>15</v>
      </c>
      <c r="E45" s="146">
        <v>15</v>
      </c>
      <c r="F45" s="146">
        <f t="shared" si="15"/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  <c r="M45" s="146">
        <v>0</v>
      </c>
      <c r="N45" s="146">
        <v>0</v>
      </c>
      <c r="O45" s="149">
        <f>F45/E45*100</f>
        <v>0</v>
      </c>
      <c r="P45" s="147">
        <v>0</v>
      </c>
      <c r="Q45" s="148">
        <f t="shared" si="30"/>
        <v>0</v>
      </c>
      <c r="R45" s="149"/>
      <c r="S45" s="148">
        <f t="shared" si="13"/>
        <v>10</v>
      </c>
      <c r="T45" s="148">
        <f t="shared" si="31"/>
        <v>-10</v>
      </c>
      <c r="U45" s="149">
        <f>F45/S45*100</f>
        <v>0</v>
      </c>
      <c r="W45" s="146">
        <v>36.601999999999997</v>
      </c>
      <c r="X45" s="148">
        <f t="shared" si="32"/>
        <v>-36.601999999999997</v>
      </c>
      <c r="Y45" s="149">
        <f>F45/W45*100</f>
        <v>0</v>
      </c>
      <c r="AA45" s="55">
        <f>F47-F42</f>
        <v>2365412.2650000006</v>
      </c>
      <c r="AB45" s="55">
        <f>W47-W42</f>
        <v>2001804.4110000005</v>
      </c>
      <c r="AC45" s="56">
        <f>AA45/AB45</f>
        <v>1.1816400503475561</v>
      </c>
    </row>
    <row r="46" spans="1:32" s="143" customFormat="1" ht="39" x14ac:dyDescent="0.25">
      <c r="A46" s="141">
        <f t="shared" si="29"/>
        <v>24</v>
      </c>
      <c r="B46" s="61" t="s">
        <v>85</v>
      </c>
      <c r="C46" s="142" t="s">
        <v>84</v>
      </c>
      <c r="D46" s="146">
        <v>4.4000000000000004</v>
      </c>
      <c r="E46" s="146">
        <v>4.4000000000000004</v>
      </c>
      <c r="F46" s="146">
        <f t="shared" si="15"/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  <c r="M46" s="146">
        <v>0</v>
      </c>
      <c r="N46" s="146">
        <v>0</v>
      </c>
      <c r="O46" s="149">
        <f>F46/E46*100</f>
        <v>0</v>
      </c>
      <c r="P46" s="147">
        <v>0</v>
      </c>
      <c r="Q46" s="148">
        <f t="shared" si="30"/>
        <v>0</v>
      </c>
      <c r="R46" s="149"/>
      <c r="S46" s="148">
        <f t="shared" si="13"/>
        <v>2.9333333333333336</v>
      </c>
      <c r="T46" s="148">
        <f t="shared" si="31"/>
        <v>-2.9333333333333336</v>
      </c>
      <c r="U46" s="149">
        <f>F46/S46*100</f>
        <v>0</v>
      </c>
      <c r="W46" s="146">
        <v>0</v>
      </c>
      <c r="X46" s="148">
        <f t="shared" si="32"/>
        <v>0</v>
      </c>
      <c r="Y46" s="149"/>
    </row>
    <row r="47" spans="1:32" s="66" customFormat="1" ht="31.5" customHeight="1" x14ac:dyDescent="0.3">
      <c r="A47" s="62"/>
      <c r="B47" s="63" t="s">
        <v>164</v>
      </c>
      <c r="C47" s="144"/>
      <c r="D47" s="144">
        <f>D7+D8+D9+D14+D18+D25+D26+D27+D28+D29+D30+D31+D33+D38+D39+D40+D41+D42+D44+D46+D45</f>
        <v>3751621.3889999995</v>
      </c>
      <c r="E47" s="144">
        <f>E7+E8+E9+E14+E18+E25+E26+E27+E28+E29+E30+E31+E33+E38+E39+E40+E41+E42+E44+E46+E45+E32</f>
        <v>3751621.3889999995</v>
      </c>
      <c r="F47" s="144">
        <f t="shared" si="15"/>
        <v>2366604.7240000004</v>
      </c>
      <c r="G47" s="144">
        <f>G7+G8+G9+G14+G18+G25+G26+G27+G28+G29+G30+G31+G33+G38+G39+G40+G41+G42+G44+G46+G45+G32</f>
        <v>237295.24299999996</v>
      </c>
      <c r="H47" s="144">
        <f t="shared" ref="H47:N47" si="33">H7+H8+H9+H14+H18+H25+H26+H27+H28+H29+H30+H31+H33+H38+H39+H40+H41+H42+H44+H46+H45+H32</f>
        <v>305315.03200000001</v>
      </c>
      <c r="I47" s="144">
        <f t="shared" ref="I47:M47" si="34">I7+I8+I9+I14+I18+I25+I26+I27+I28+I29+I30+I31+I33+I38+I39+I40+I41+I42+I44+I46+I45+I32</f>
        <v>276790.2</v>
      </c>
      <c r="J47" s="144">
        <f t="shared" si="34"/>
        <v>310545.73499999999</v>
      </c>
      <c r="K47" s="144">
        <f t="shared" si="34"/>
        <v>308493.50899999996</v>
      </c>
      <c r="L47" s="144">
        <f t="shared" si="34"/>
        <v>294480.42599999998</v>
      </c>
      <c r="M47" s="144">
        <f t="shared" si="34"/>
        <v>323392.28900000005</v>
      </c>
      <c r="N47" s="144">
        <f t="shared" si="33"/>
        <v>310292.29000000004</v>
      </c>
      <c r="O47" s="65">
        <f>F47/E47*100</f>
        <v>63.08218443734863</v>
      </c>
      <c r="P47" s="144">
        <f>P7+P8+P9+P14+P18+P25+P26+P27+P28+P29+P30+P31+P33+P38+P39+P40+P41+P42+P44+P46+P45+P32</f>
        <v>2253309.1780000003</v>
      </c>
      <c r="Q47" s="64">
        <f t="shared" si="30"/>
        <v>113295.54600000009</v>
      </c>
      <c r="R47" s="178">
        <f>F47/P47*100</f>
        <v>105.02796274502192</v>
      </c>
      <c r="S47" s="144">
        <f>S7+S8+S9+S14+S18+S25+S26+S27+S28+S29+S30+S31+S33+S38+S39+S40+S41+S42+S44+S46+S45+S32+S43</f>
        <v>2501080.9259999995</v>
      </c>
      <c r="T47" s="64">
        <f t="shared" si="31"/>
        <v>-134476.20199999912</v>
      </c>
      <c r="U47" s="65">
        <f>F47/S47*100</f>
        <v>94.623276656022952</v>
      </c>
      <c r="W47" s="144">
        <f>W7+W8+W9+W14+W18+W25+W26+W27+W28+W29+W30+W31+W33+W38+W39+W40+W41+W42+W44+W46+W45+W24+W43</f>
        <v>2043328.3210000005</v>
      </c>
      <c r="X47" s="64">
        <f t="shared" si="32"/>
        <v>323276.40299999993</v>
      </c>
      <c r="Y47" s="65">
        <f>F47/W47*100</f>
        <v>115.82106995129344</v>
      </c>
      <c r="Z47" s="67">
        <v>2043328.321</v>
      </c>
      <c r="AA47" s="67">
        <f>Z47-W47</f>
        <v>0</v>
      </c>
      <c r="AD47" s="67" t="e">
        <f>#REF!-#REF!-#REF!</f>
        <v>#REF!</v>
      </c>
      <c r="AF47" s="66">
        <v>294547.38299999997</v>
      </c>
    </row>
    <row r="48" spans="1:32" s="8" customFormat="1" ht="29.25" customHeight="1" x14ac:dyDescent="0.25">
      <c r="A48" s="171">
        <v>1</v>
      </c>
      <c r="B48" s="139" t="s">
        <v>131</v>
      </c>
      <c r="C48" s="132" t="s">
        <v>55</v>
      </c>
      <c r="D48" s="152">
        <v>717803.4</v>
      </c>
      <c r="E48" s="152">
        <v>717803.4</v>
      </c>
      <c r="F48" s="146">
        <f t="shared" si="15"/>
        <v>468582.20000000007</v>
      </c>
      <c r="G48" s="146">
        <v>44804.3</v>
      </c>
      <c r="H48" s="146">
        <v>52312.800000000003</v>
      </c>
      <c r="I48" s="146">
        <v>54480.800000000003</v>
      </c>
      <c r="J48" s="146">
        <v>55203.4</v>
      </c>
      <c r="K48" s="146">
        <v>71101.8</v>
      </c>
      <c r="L48" s="146">
        <v>137361.60000000001</v>
      </c>
      <c r="M48" s="146">
        <v>24852.1</v>
      </c>
      <c r="N48" s="146">
        <v>28465.4</v>
      </c>
      <c r="O48" s="149">
        <f>F48/E48*100</f>
        <v>65.280019570818425</v>
      </c>
      <c r="P48" s="146">
        <v>468582.2</v>
      </c>
      <c r="Q48" s="148">
        <f t="shared" si="30"/>
        <v>0</v>
      </c>
      <c r="R48" s="149">
        <f>F48/P48*100</f>
        <v>100.00000000000003</v>
      </c>
      <c r="S48" s="146">
        <f>P48</f>
        <v>468582.2</v>
      </c>
      <c r="T48" s="148">
        <f t="shared" si="31"/>
        <v>0</v>
      </c>
      <c r="U48" s="149">
        <f>F48/S48*100</f>
        <v>100.00000000000003</v>
      </c>
      <c r="W48" s="146">
        <v>371625.39999999997</v>
      </c>
      <c r="X48" s="148">
        <f t="shared" si="32"/>
        <v>96956.800000000105</v>
      </c>
      <c r="Y48" s="149">
        <f>F48/W48*100</f>
        <v>126.08992819113014</v>
      </c>
      <c r="Z48" s="33"/>
      <c r="AA48" s="33"/>
      <c r="AB48" s="33"/>
      <c r="AC48" s="35"/>
    </row>
    <row r="49" spans="1:29" s="8" customFormat="1" ht="29.25" customHeight="1" x14ac:dyDescent="0.25">
      <c r="A49" s="171">
        <f t="shared" ref="A49:A57" si="35">A48+1</f>
        <v>2</v>
      </c>
      <c r="B49" s="139" t="s">
        <v>132</v>
      </c>
      <c r="C49" s="132" t="s">
        <v>56</v>
      </c>
      <c r="D49" s="152">
        <v>0</v>
      </c>
      <c r="E49" s="152">
        <v>0</v>
      </c>
      <c r="F49" s="146">
        <f t="shared" si="15"/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  <c r="M49" s="146">
        <v>0</v>
      </c>
      <c r="N49" s="146">
        <v>0</v>
      </c>
      <c r="O49" s="149"/>
      <c r="P49" s="146">
        <v>0</v>
      </c>
      <c r="Q49" s="148">
        <f t="shared" si="30"/>
        <v>0</v>
      </c>
      <c r="R49" s="149"/>
      <c r="S49" s="146">
        <f t="shared" ref="S49:S67" si="36">P49</f>
        <v>0</v>
      </c>
      <c r="T49" s="148">
        <f t="shared" si="31"/>
        <v>0</v>
      </c>
      <c r="U49" s="149"/>
      <c r="W49" s="146">
        <v>72658.799999999988</v>
      </c>
      <c r="X49" s="148">
        <f t="shared" si="32"/>
        <v>-72658.799999999988</v>
      </c>
      <c r="Y49" s="149">
        <f>F49/W49*100</f>
        <v>0</v>
      </c>
      <c r="Z49" s="33"/>
      <c r="AA49" s="33"/>
      <c r="AB49" s="33"/>
      <c r="AC49" s="35"/>
    </row>
    <row r="50" spans="1:29" s="8" customFormat="1" ht="58.5" x14ac:dyDescent="0.25">
      <c r="A50" s="171">
        <f t="shared" si="35"/>
        <v>3</v>
      </c>
      <c r="B50" s="139" t="s">
        <v>187</v>
      </c>
      <c r="C50" s="132" t="s">
        <v>186</v>
      </c>
      <c r="D50" s="152">
        <v>0</v>
      </c>
      <c r="E50" s="152">
        <v>10000</v>
      </c>
      <c r="F50" s="146">
        <f t="shared" si="15"/>
        <v>8790</v>
      </c>
      <c r="G50" s="146">
        <v>0</v>
      </c>
      <c r="H50" s="146">
        <v>0</v>
      </c>
      <c r="I50" s="146">
        <v>0</v>
      </c>
      <c r="J50" s="146">
        <v>0</v>
      </c>
      <c r="K50" s="146">
        <v>3516</v>
      </c>
      <c r="L50" s="146">
        <v>1758</v>
      </c>
      <c r="M50" s="146">
        <v>1758</v>
      </c>
      <c r="N50" s="146">
        <v>1758</v>
      </c>
      <c r="O50" s="149">
        <f>F50/E50*100</f>
        <v>87.9</v>
      </c>
      <c r="P50" s="146">
        <v>8790</v>
      </c>
      <c r="Q50" s="148">
        <f t="shared" si="30"/>
        <v>0</v>
      </c>
      <c r="R50" s="149">
        <f>F50/P50*100</f>
        <v>100</v>
      </c>
      <c r="S50" s="146">
        <f t="shared" si="36"/>
        <v>8790</v>
      </c>
      <c r="T50" s="148">
        <f t="shared" si="31"/>
        <v>0</v>
      </c>
      <c r="U50" s="149">
        <f>F50/S50*100</f>
        <v>100</v>
      </c>
      <c r="W50" s="146">
        <v>0</v>
      </c>
      <c r="X50" s="148">
        <f t="shared" si="32"/>
        <v>8790</v>
      </c>
      <c r="Y50" s="149"/>
      <c r="Z50" s="33"/>
      <c r="AA50" s="33"/>
      <c r="AB50" s="33"/>
      <c r="AC50" s="35"/>
    </row>
    <row r="51" spans="1:29" s="8" customFormat="1" ht="78" x14ac:dyDescent="0.25">
      <c r="A51" s="171">
        <f t="shared" si="35"/>
        <v>4</v>
      </c>
      <c r="B51" s="157" t="s">
        <v>133</v>
      </c>
      <c r="C51" s="172" t="s">
        <v>116</v>
      </c>
      <c r="D51" s="152">
        <v>0</v>
      </c>
      <c r="E51" s="152">
        <v>0</v>
      </c>
      <c r="F51" s="146">
        <f t="shared" si="15"/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  <c r="M51" s="146">
        <v>0</v>
      </c>
      <c r="N51" s="146">
        <v>0</v>
      </c>
      <c r="O51" s="149"/>
      <c r="P51" s="146">
        <v>0</v>
      </c>
      <c r="Q51" s="148">
        <f t="shared" si="30"/>
        <v>0</v>
      </c>
      <c r="R51" s="149"/>
      <c r="S51" s="146">
        <f t="shared" si="36"/>
        <v>0</v>
      </c>
      <c r="T51" s="148">
        <f t="shared" si="31"/>
        <v>0</v>
      </c>
      <c r="U51" s="149"/>
      <c r="W51" s="146">
        <v>12210.8</v>
      </c>
      <c r="X51" s="148">
        <f t="shared" si="32"/>
        <v>-12210.8</v>
      </c>
      <c r="Y51" s="149">
        <f>F51/W51*100</f>
        <v>0</v>
      </c>
      <c r="Z51" s="33"/>
      <c r="AA51" s="33"/>
      <c r="AB51" s="33"/>
      <c r="AC51" s="35"/>
    </row>
    <row r="52" spans="1:29" s="8" customFormat="1" ht="234" x14ac:dyDescent="0.25">
      <c r="A52" s="174">
        <f t="shared" si="35"/>
        <v>5</v>
      </c>
      <c r="B52" s="157" t="s">
        <v>202</v>
      </c>
      <c r="C52" s="175" t="s">
        <v>203</v>
      </c>
      <c r="D52" s="152"/>
      <c r="E52" s="152"/>
      <c r="F52" s="146">
        <f t="shared" si="15"/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  <c r="M52" s="146">
        <v>0</v>
      </c>
      <c r="N52" s="146">
        <v>0</v>
      </c>
      <c r="O52" s="149"/>
      <c r="P52" s="146">
        <v>0</v>
      </c>
      <c r="Q52" s="148">
        <f t="shared" si="30"/>
        <v>0</v>
      </c>
      <c r="R52" s="149"/>
      <c r="S52" s="146">
        <f t="shared" si="36"/>
        <v>0</v>
      </c>
      <c r="T52" s="148">
        <f t="shared" si="31"/>
        <v>0</v>
      </c>
      <c r="U52" s="149"/>
      <c r="W52" s="146">
        <v>7225.5249999999996</v>
      </c>
      <c r="X52" s="148">
        <f t="shared" si="32"/>
        <v>-7225.5249999999996</v>
      </c>
      <c r="Y52" s="149"/>
      <c r="Z52" s="33"/>
      <c r="AA52" s="33"/>
      <c r="AB52" s="33"/>
      <c r="AC52" s="35"/>
    </row>
    <row r="53" spans="1:29" s="8" customFormat="1" ht="253.5" x14ac:dyDescent="0.25">
      <c r="A53" s="174">
        <f t="shared" si="35"/>
        <v>6</v>
      </c>
      <c r="B53" s="157" t="s">
        <v>204</v>
      </c>
      <c r="C53" s="175" t="s">
        <v>205</v>
      </c>
      <c r="D53" s="152"/>
      <c r="E53" s="152"/>
      <c r="F53" s="146">
        <f t="shared" si="15"/>
        <v>0</v>
      </c>
      <c r="G53" s="146">
        <v>0</v>
      </c>
      <c r="H53" s="146">
        <v>0</v>
      </c>
      <c r="I53" s="146">
        <v>0</v>
      </c>
      <c r="J53" s="146">
        <v>0</v>
      </c>
      <c r="K53" s="146">
        <v>0</v>
      </c>
      <c r="L53" s="146">
        <v>0</v>
      </c>
      <c r="M53" s="146">
        <v>0</v>
      </c>
      <c r="N53" s="146">
        <v>0</v>
      </c>
      <c r="O53" s="149"/>
      <c r="P53" s="146">
        <v>0</v>
      </c>
      <c r="Q53" s="148">
        <f t="shared" si="30"/>
        <v>0</v>
      </c>
      <c r="R53" s="149"/>
      <c r="S53" s="146">
        <f t="shared" si="36"/>
        <v>0</v>
      </c>
      <c r="T53" s="148">
        <f t="shared" si="31"/>
        <v>0</v>
      </c>
      <c r="U53" s="149"/>
      <c r="W53" s="146">
        <v>1007.963</v>
      </c>
      <c r="X53" s="148">
        <f t="shared" si="32"/>
        <v>-1007.963</v>
      </c>
      <c r="Y53" s="149"/>
      <c r="Z53" s="33"/>
      <c r="AA53" s="33"/>
      <c r="AB53" s="33"/>
      <c r="AC53" s="35"/>
    </row>
    <row r="54" spans="1:29" s="8" customFormat="1" ht="351" x14ac:dyDescent="0.25">
      <c r="A54" s="174">
        <f t="shared" si="35"/>
        <v>7</v>
      </c>
      <c r="B54" s="157" t="s">
        <v>206</v>
      </c>
      <c r="C54" s="175" t="s">
        <v>207</v>
      </c>
      <c r="D54" s="152"/>
      <c r="E54" s="152"/>
      <c r="F54" s="146">
        <f t="shared" si="15"/>
        <v>0</v>
      </c>
      <c r="G54" s="146">
        <v>0</v>
      </c>
      <c r="H54" s="146">
        <v>0</v>
      </c>
      <c r="I54" s="146">
        <v>0</v>
      </c>
      <c r="J54" s="146">
        <v>0</v>
      </c>
      <c r="K54" s="146">
        <v>0</v>
      </c>
      <c r="L54" s="146">
        <v>0</v>
      </c>
      <c r="M54" s="146">
        <v>0</v>
      </c>
      <c r="N54" s="146">
        <v>0</v>
      </c>
      <c r="O54" s="149"/>
      <c r="P54" s="146">
        <v>0</v>
      </c>
      <c r="Q54" s="148">
        <f t="shared" si="30"/>
        <v>0</v>
      </c>
      <c r="R54" s="149"/>
      <c r="S54" s="146">
        <f t="shared" si="36"/>
        <v>0</v>
      </c>
      <c r="T54" s="148">
        <f t="shared" si="31"/>
        <v>0</v>
      </c>
      <c r="U54" s="149"/>
      <c r="W54" s="146">
        <v>2751.9989999999998</v>
      </c>
      <c r="X54" s="148">
        <f t="shared" si="32"/>
        <v>-2751.9989999999998</v>
      </c>
      <c r="Y54" s="149"/>
      <c r="Z54" s="33"/>
      <c r="AA54" s="33"/>
      <c r="AB54" s="33"/>
      <c r="AC54" s="35"/>
    </row>
    <row r="55" spans="1:29" s="8" customFormat="1" ht="39" x14ac:dyDescent="0.25">
      <c r="A55" s="174">
        <f t="shared" si="35"/>
        <v>8</v>
      </c>
      <c r="B55" s="157" t="s">
        <v>137</v>
      </c>
      <c r="C55" s="172" t="s">
        <v>125</v>
      </c>
      <c r="D55" s="152">
        <v>11474.77</v>
      </c>
      <c r="E55" s="152">
        <v>11474.77</v>
      </c>
      <c r="F55" s="146">
        <f t="shared" si="15"/>
        <v>7490.7360000000008</v>
      </c>
      <c r="G55" s="146">
        <v>716.24</v>
      </c>
      <c r="H55" s="146">
        <v>836.27099999999996</v>
      </c>
      <c r="I55" s="146">
        <v>870.92700000000002</v>
      </c>
      <c r="J55" s="146">
        <v>882.48</v>
      </c>
      <c r="K55" s="146">
        <v>1136.6300000000001</v>
      </c>
      <c r="L55" s="146">
        <v>2195.857</v>
      </c>
      <c r="M55" s="146">
        <v>397.28500000000003</v>
      </c>
      <c r="N55" s="146">
        <v>455.04599999999999</v>
      </c>
      <c r="O55" s="149">
        <f>F55/E55*100</f>
        <v>65.280053543556875</v>
      </c>
      <c r="P55" s="147">
        <v>7490.7359999999999</v>
      </c>
      <c r="Q55" s="148">
        <f t="shared" si="30"/>
        <v>0</v>
      </c>
      <c r="R55" s="149">
        <f>F55/P55*100</f>
        <v>100.00000000000003</v>
      </c>
      <c r="S55" s="146">
        <f t="shared" si="36"/>
        <v>7490.7359999999999</v>
      </c>
      <c r="T55" s="148">
        <f t="shared" si="31"/>
        <v>0</v>
      </c>
      <c r="U55" s="149">
        <f>F55/S55*100</f>
        <v>100.00000000000003</v>
      </c>
      <c r="W55" s="146">
        <v>4667.5859999999993</v>
      </c>
      <c r="X55" s="148">
        <f t="shared" si="32"/>
        <v>2823.1500000000015</v>
      </c>
      <c r="Y55" s="149">
        <f>F55/W55*100</f>
        <v>160.48415604982966</v>
      </c>
    </row>
    <row r="56" spans="1:29" s="8" customFormat="1" ht="58.5" x14ac:dyDescent="0.25">
      <c r="A56" s="171">
        <f t="shared" si="35"/>
        <v>9</v>
      </c>
      <c r="B56" s="157" t="s">
        <v>138</v>
      </c>
      <c r="C56" s="172">
        <v>41051200</v>
      </c>
      <c r="D56" s="152">
        <v>4100.6319999999996</v>
      </c>
      <c r="E56" s="152">
        <v>4100.6319999999996</v>
      </c>
      <c r="F56" s="146">
        <f t="shared" si="15"/>
        <v>2219.9859999999999</v>
      </c>
      <c r="G56" s="146">
        <v>203.22900000000001</v>
      </c>
      <c r="H56" s="146">
        <v>203.22900000000001</v>
      </c>
      <c r="I56" s="146">
        <v>203.22900000000001</v>
      </c>
      <c r="J56" s="146">
        <v>297.09899999999999</v>
      </c>
      <c r="K56" s="146">
        <v>226.691</v>
      </c>
      <c r="L56" s="146">
        <v>633.12699999999995</v>
      </c>
      <c r="M56" s="146">
        <v>226.691</v>
      </c>
      <c r="N56" s="146">
        <v>226.691</v>
      </c>
      <c r="O56" s="149">
        <f>F56/E56*100</f>
        <v>54.137654878565066</v>
      </c>
      <c r="P56" s="147">
        <v>2219.9859999999999</v>
      </c>
      <c r="Q56" s="148">
        <f t="shared" si="30"/>
        <v>0</v>
      </c>
      <c r="R56" s="149">
        <f>F56/P56*100</f>
        <v>100</v>
      </c>
      <c r="S56" s="146">
        <f t="shared" si="36"/>
        <v>2219.9859999999999</v>
      </c>
      <c r="T56" s="148">
        <f t="shared" si="31"/>
        <v>0</v>
      </c>
      <c r="U56" s="149">
        <f>F56/S56*100</f>
        <v>100</v>
      </c>
      <c r="W56" s="146">
        <v>2510.3720000000003</v>
      </c>
      <c r="X56" s="148">
        <f t="shared" si="32"/>
        <v>-290.38600000000042</v>
      </c>
      <c r="Y56" s="149">
        <f>F56/W56*100</f>
        <v>88.432551032277274</v>
      </c>
    </row>
    <row r="57" spans="1:29" s="8" customFormat="1" ht="78" x14ac:dyDescent="0.25">
      <c r="A57" s="171">
        <f t="shared" si="35"/>
        <v>10</v>
      </c>
      <c r="B57" s="157" t="s">
        <v>184</v>
      </c>
      <c r="C57" s="172" t="s">
        <v>185</v>
      </c>
      <c r="D57" s="152">
        <v>0</v>
      </c>
      <c r="E57" s="152">
        <v>10198.897000000001</v>
      </c>
      <c r="F57" s="146">
        <f t="shared" si="15"/>
        <v>7302.4260000000004</v>
      </c>
      <c r="G57" s="146">
        <v>0</v>
      </c>
      <c r="H57" s="146">
        <v>0</v>
      </c>
      <c r="I57" s="146">
        <v>0</v>
      </c>
      <c r="J57" s="146">
        <v>0</v>
      </c>
      <c r="K57" s="146">
        <v>0</v>
      </c>
      <c r="L57" s="146">
        <v>0</v>
      </c>
      <c r="M57" s="146">
        <v>0</v>
      </c>
      <c r="N57" s="146">
        <v>7302.4260000000004</v>
      </c>
      <c r="O57" s="149">
        <f>F57/E57*100</f>
        <v>71.600154408854209</v>
      </c>
      <c r="P57" s="147">
        <v>7302.4260000000004</v>
      </c>
      <c r="Q57" s="148">
        <f t="shared" si="30"/>
        <v>0</v>
      </c>
      <c r="R57" s="149">
        <f>F57/P57*100</f>
        <v>100</v>
      </c>
      <c r="S57" s="146">
        <f t="shared" si="36"/>
        <v>7302.4260000000004</v>
      </c>
      <c r="T57" s="148">
        <f t="shared" si="31"/>
        <v>0</v>
      </c>
      <c r="U57" s="149">
        <f>F57/S57*100</f>
        <v>100</v>
      </c>
      <c r="W57" s="146">
        <v>6063.7819999999992</v>
      </c>
      <c r="X57" s="148">
        <f t="shared" si="32"/>
        <v>1238.6440000000011</v>
      </c>
      <c r="Y57" s="149">
        <f>F57/W57*100</f>
        <v>120.42692168023193</v>
      </c>
    </row>
    <row r="58" spans="1:29" s="8" customFormat="1" ht="58.5" x14ac:dyDescent="0.25">
      <c r="A58" s="190">
        <v>11</v>
      </c>
      <c r="B58" s="157" t="s">
        <v>134</v>
      </c>
      <c r="C58" s="191" t="s">
        <v>105</v>
      </c>
      <c r="D58" s="152">
        <f>SUM(D59:D60)</f>
        <v>0</v>
      </c>
      <c r="E58" s="152">
        <f>SUM(E59:E60)</f>
        <v>0</v>
      </c>
      <c r="F58" s="146">
        <f t="shared" si="15"/>
        <v>0</v>
      </c>
      <c r="G58" s="146">
        <f>SUM(G59:G60)</f>
        <v>0</v>
      </c>
      <c r="H58" s="146">
        <v>0</v>
      </c>
      <c r="I58" s="146">
        <v>0</v>
      </c>
      <c r="J58" s="146">
        <v>0</v>
      </c>
      <c r="K58" s="146">
        <v>0</v>
      </c>
      <c r="L58" s="146">
        <v>0</v>
      </c>
      <c r="M58" s="146">
        <v>0</v>
      </c>
      <c r="N58" s="146">
        <v>0</v>
      </c>
      <c r="O58" s="149"/>
      <c r="P58" s="147">
        <f>SUM(P59:P60)</f>
        <v>0</v>
      </c>
      <c r="Q58" s="148">
        <f t="shared" si="30"/>
        <v>0</v>
      </c>
      <c r="R58" s="149"/>
      <c r="S58" s="146">
        <f t="shared" si="36"/>
        <v>0</v>
      </c>
      <c r="T58" s="148">
        <f t="shared" si="31"/>
        <v>0</v>
      </c>
      <c r="U58" s="149"/>
      <c r="W58" s="146">
        <v>5611.1929999999993</v>
      </c>
      <c r="X58" s="148">
        <f t="shared" si="32"/>
        <v>-5611.1929999999993</v>
      </c>
      <c r="Y58" s="149"/>
    </row>
    <row r="59" spans="1:29" s="32" customFormat="1" ht="78" hidden="1" x14ac:dyDescent="0.25">
      <c r="A59" s="190"/>
      <c r="B59" s="158" t="s">
        <v>91</v>
      </c>
      <c r="C59" s="191"/>
      <c r="D59" s="153">
        <v>0</v>
      </c>
      <c r="E59" s="153">
        <v>0</v>
      </c>
      <c r="F59" s="150">
        <f t="shared" si="15"/>
        <v>0</v>
      </c>
      <c r="G59" s="150">
        <v>0</v>
      </c>
      <c r="H59" s="150">
        <v>0</v>
      </c>
      <c r="I59" s="150">
        <v>0</v>
      </c>
      <c r="J59" s="150">
        <v>0</v>
      </c>
      <c r="K59" s="150">
        <v>0</v>
      </c>
      <c r="L59" s="150">
        <v>0</v>
      </c>
      <c r="M59" s="150"/>
      <c r="N59" s="150"/>
      <c r="O59" s="151"/>
      <c r="P59" s="93">
        <v>0</v>
      </c>
      <c r="Q59" s="94">
        <f t="shared" si="30"/>
        <v>0</v>
      </c>
      <c r="R59" s="151"/>
      <c r="S59" s="150">
        <f t="shared" si="36"/>
        <v>0</v>
      </c>
      <c r="T59" s="94">
        <f t="shared" si="31"/>
        <v>0</v>
      </c>
      <c r="U59" s="151"/>
      <c r="W59" s="150">
        <v>3462.7930000000001</v>
      </c>
      <c r="X59" s="94">
        <f t="shared" si="32"/>
        <v>-3462.7930000000001</v>
      </c>
      <c r="Y59" s="151"/>
    </row>
    <row r="60" spans="1:29" s="32" customFormat="1" ht="39" hidden="1" x14ac:dyDescent="0.25">
      <c r="A60" s="190"/>
      <c r="B60" s="158" t="s">
        <v>101</v>
      </c>
      <c r="C60" s="191"/>
      <c r="D60" s="153">
        <v>0</v>
      </c>
      <c r="E60" s="153">
        <f t="shared" ref="E60" si="37">D60</f>
        <v>0</v>
      </c>
      <c r="F60" s="150">
        <f t="shared" si="15"/>
        <v>0</v>
      </c>
      <c r="G60" s="150">
        <v>0</v>
      </c>
      <c r="H60" s="150">
        <v>0</v>
      </c>
      <c r="I60" s="150">
        <v>0</v>
      </c>
      <c r="J60" s="150">
        <v>0</v>
      </c>
      <c r="K60" s="150">
        <v>0</v>
      </c>
      <c r="L60" s="150">
        <v>0</v>
      </c>
      <c r="M60" s="150"/>
      <c r="N60" s="150"/>
      <c r="O60" s="151"/>
      <c r="P60" s="93">
        <v>0</v>
      </c>
      <c r="Q60" s="94">
        <f t="shared" si="30"/>
        <v>0</v>
      </c>
      <c r="R60" s="151"/>
      <c r="S60" s="150">
        <f t="shared" si="36"/>
        <v>0</v>
      </c>
      <c r="T60" s="94">
        <f t="shared" si="31"/>
        <v>0</v>
      </c>
      <c r="U60" s="151"/>
      <c r="W60" s="150">
        <v>2148.4</v>
      </c>
      <c r="X60" s="94">
        <f t="shared" si="32"/>
        <v>-2148.4</v>
      </c>
      <c r="Y60" s="151"/>
      <c r="AB60" s="32" t="e">
        <f>Z60/#REF!*100</f>
        <v>#REF!</v>
      </c>
    </row>
    <row r="61" spans="1:29" s="32" customFormat="1" ht="78" x14ac:dyDescent="0.25">
      <c r="A61" s="171">
        <v>12</v>
      </c>
      <c r="B61" s="157" t="s">
        <v>183</v>
      </c>
      <c r="C61" s="172">
        <v>41051700</v>
      </c>
      <c r="D61" s="152">
        <v>0</v>
      </c>
      <c r="E61" s="152">
        <v>0</v>
      </c>
      <c r="F61" s="146">
        <f t="shared" si="15"/>
        <v>0</v>
      </c>
      <c r="G61" s="146">
        <v>0</v>
      </c>
      <c r="H61" s="146">
        <v>0</v>
      </c>
      <c r="I61" s="146">
        <v>0</v>
      </c>
      <c r="J61" s="146">
        <v>0</v>
      </c>
      <c r="K61" s="146">
        <v>0</v>
      </c>
      <c r="L61" s="146">
        <v>0</v>
      </c>
      <c r="M61" s="146">
        <v>0</v>
      </c>
      <c r="N61" s="146">
        <v>0</v>
      </c>
      <c r="O61" s="151"/>
      <c r="P61" s="146">
        <v>0</v>
      </c>
      <c r="Q61" s="146">
        <v>0</v>
      </c>
      <c r="R61" s="151"/>
      <c r="S61" s="146">
        <f t="shared" si="36"/>
        <v>0</v>
      </c>
      <c r="T61" s="148">
        <f t="shared" si="31"/>
        <v>0</v>
      </c>
      <c r="U61" s="151"/>
      <c r="W61" s="146">
        <v>462.70299999999997</v>
      </c>
      <c r="X61" s="148">
        <f t="shared" si="32"/>
        <v>-462.70299999999997</v>
      </c>
      <c r="Y61" s="151"/>
    </row>
    <row r="62" spans="1:29" s="8" customFormat="1" ht="58.5" x14ac:dyDescent="0.25">
      <c r="A62" s="171">
        <f>A61+1</f>
        <v>13</v>
      </c>
      <c r="B62" s="159" t="s">
        <v>157</v>
      </c>
      <c r="C62" s="172" t="s">
        <v>136</v>
      </c>
      <c r="D62" s="152">
        <v>7100</v>
      </c>
      <c r="E62" s="152">
        <v>15409.365</v>
      </c>
      <c r="F62" s="146">
        <f t="shared" si="15"/>
        <v>13898.706999999999</v>
      </c>
      <c r="G62" s="146">
        <v>1183.3330000000001</v>
      </c>
      <c r="H62" s="146">
        <v>1183.3330000000001</v>
      </c>
      <c r="I62" s="146">
        <v>1183.3330000000001</v>
      </c>
      <c r="J62" s="146">
        <v>1183.3330000000001</v>
      </c>
      <c r="K62" s="146">
        <v>3056.2190000000001</v>
      </c>
      <c r="L62" s="146">
        <v>3087.8420000000001</v>
      </c>
      <c r="M62" s="146">
        <v>1510.6569999999999</v>
      </c>
      <c r="N62" s="146">
        <v>1510.6569999999999</v>
      </c>
      <c r="O62" s="149">
        <f t="shared" ref="O62:O69" si="38">F62/E62*100</f>
        <v>90.196494144956645</v>
      </c>
      <c r="P62" s="147">
        <v>13898.707</v>
      </c>
      <c r="Q62" s="148">
        <f t="shared" ref="Q62:Q69" si="39">F62-P62</f>
        <v>0</v>
      </c>
      <c r="R62" s="149">
        <f t="shared" ref="R62:R69" si="40">F62/P62*100</f>
        <v>99.999999999999986</v>
      </c>
      <c r="S62" s="146">
        <f t="shared" si="36"/>
        <v>13898.707</v>
      </c>
      <c r="T62" s="148">
        <f t="shared" si="31"/>
        <v>0</v>
      </c>
      <c r="U62" s="149">
        <f t="shared" ref="U62:U69" si="41">F62/S62*100</f>
        <v>99.999999999999986</v>
      </c>
      <c r="W62" s="146">
        <v>7974.3</v>
      </c>
      <c r="X62" s="148">
        <f t="shared" si="32"/>
        <v>5924.4069999999983</v>
      </c>
      <c r="Y62" s="149">
        <f t="shared" ref="Y62:Y67" si="42">F62/W62*100</f>
        <v>174.29375619176602</v>
      </c>
      <c r="Z62" s="146"/>
      <c r="AA62" s="146"/>
    </row>
    <row r="63" spans="1:29" s="8" customFormat="1" ht="23.25" x14ac:dyDescent="0.25">
      <c r="A63" s="171">
        <f>A62+1</f>
        <v>14</v>
      </c>
      <c r="B63" s="159" t="s">
        <v>135</v>
      </c>
      <c r="C63" s="172" t="s">
        <v>117</v>
      </c>
      <c r="D63" s="152">
        <f>SUM(D64:D69)</f>
        <v>3644</v>
      </c>
      <c r="E63" s="152">
        <f>SUM(E64:E69)</f>
        <v>4594.2280000000001</v>
      </c>
      <c r="F63" s="146">
        <f t="shared" si="15"/>
        <v>2270.2350000000001</v>
      </c>
      <c r="G63" s="146">
        <f t="shared" ref="G63:P63" si="43">SUM(G64:G69)</f>
        <v>0</v>
      </c>
      <c r="H63" s="146">
        <f t="shared" si="43"/>
        <v>57.276000000000003</v>
      </c>
      <c r="I63" s="146">
        <f t="shared" si="43"/>
        <v>466.01499999999999</v>
      </c>
      <c r="J63" s="146">
        <f t="shared" si="43"/>
        <v>231.05500000000001</v>
      </c>
      <c r="K63" s="146">
        <f>SUM(K64:K69)</f>
        <v>320.97299999999996</v>
      </c>
      <c r="L63" s="146">
        <f>SUM(L64:L69)</f>
        <v>297.8</v>
      </c>
      <c r="M63" s="146">
        <f>SUM(M64:M69)</f>
        <v>158.9</v>
      </c>
      <c r="N63" s="146">
        <f>SUM(N64:N69)</f>
        <v>738.21600000000001</v>
      </c>
      <c r="O63" s="149">
        <f t="shared" si="38"/>
        <v>49.414939789666512</v>
      </c>
      <c r="P63" s="146">
        <f t="shared" si="43"/>
        <v>3211.3449999999998</v>
      </c>
      <c r="Q63" s="148">
        <f t="shared" si="39"/>
        <v>-941.10999999999967</v>
      </c>
      <c r="R63" s="149">
        <f t="shared" si="40"/>
        <v>70.694210681194335</v>
      </c>
      <c r="S63" s="146">
        <f t="shared" si="36"/>
        <v>3211.3449999999998</v>
      </c>
      <c r="T63" s="148">
        <f t="shared" si="31"/>
        <v>-941.10999999999967</v>
      </c>
      <c r="U63" s="149">
        <f t="shared" si="41"/>
        <v>70.694210681194335</v>
      </c>
      <c r="W63" s="146">
        <f>SUM(W64:W67)</f>
        <v>1144.086</v>
      </c>
      <c r="X63" s="148">
        <f t="shared" si="32"/>
        <v>1126.1490000000001</v>
      </c>
      <c r="Y63" s="149">
        <f t="shared" si="42"/>
        <v>198.43219827880071</v>
      </c>
      <c r="Z63" s="146">
        <v>5098.8379999999997</v>
      </c>
      <c r="AA63" s="146">
        <f>Z63-W63</f>
        <v>3954.7519999999995</v>
      </c>
    </row>
    <row r="64" spans="1:29" s="32" customFormat="1" ht="60.75" x14ac:dyDescent="0.25">
      <c r="A64" s="134" t="s">
        <v>211</v>
      </c>
      <c r="B64" s="158" t="s">
        <v>177</v>
      </c>
      <c r="C64" s="81"/>
      <c r="D64" s="153">
        <v>105</v>
      </c>
      <c r="E64" s="153">
        <v>105</v>
      </c>
      <c r="F64" s="150">
        <f t="shared" si="15"/>
        <v>64.563000000000002</v>
      </c>
      <c r="G64" s="150">
        <v>0</v>
      </c>
      <c r="H64" s="150">
        <v>0</v>
      </c>
      <c r="I64" s="150">
        <v>26.257000000000001</v>
      </c>
      <c r="J64" s="150">
        <v>5.5039999999999996</v>
      </c>
      <c r="K64" s="150">
        <f>12</f>
        <v>12</v>
      </c>
      <c r="L64" s="150">
        <v>7.8360000000000003</v>
      </c>
      <c r="M64" s="150">
        <v>0</v>
      </c>
      <c r="N64" s="150">
        <f>3.454+9.512</f>
        <v>12.966000000000001</v>
      </c>
      <c r="O64" s="151">
        <f t="shared" si="38"/>
        <v>61.488571428571426</v>
      </c>
      <c r="P64" s="93">
        <v>70.016000000000005</v>
      </c>
      <c r="Q64" s="94">
        <f t="shared" si="39"/>
        <v>-5.453000000000003</v>
      </c>
      <c r="R64" s="151">
        <f t="shared" si="40"/>
        <v>92.21178016453382</v>
      </c>
      <c r="S64" s="150">
        <f t="shared" si="36"/>
        <v>70.016000000000005</v>
      </c>
      <c r="T64" s="94">
        <f t="shared" si="31"/>
        <v>-5.453000000000003</v>
      </c>
      <c r="U64" s="151">
        <f t="shared" si="41"/>
        <v>92.21178016453382</v>
      </c>
      <c r="W64" s="150">
        <v>51.094999999999999</v>
      </c>
      <c r="X64" s="94">
        <f t="shared" si="32"/>
        <v>13.468000000000004</v>
      </c>
      <c r="Y64" s="151">
        <f t="shared" si="42"/>
        <v>126.35874351697818</v>
      </c>
    </row>
    <row r="65" spans="1:30" s="32" customFormat="1" ht="60" x14ac:dyDescent="0.25">
      <c r="A65" s="134" t="s">
        <v>212</v>
      </c>
      <c r="B65" s="158" t="s">
        <v>178</v>
      </c>
      <c r="C65" s="81"/>
      <c r="D65" s="153">
        <v>1246.7</v>
      </c>
      <c r="E65" s="153">
        <v>1246.7</v>
      </c>
      <c r="F65" s="150">
        <f t="shared" si="15"/>
        <v>665.02299999999991</v>
      </c>
      <c r="G65" s="150">
        <v>0</v>
      </c>
      <c r="H65" s="150">
        <v>57.276000000000003</v>
      </c>
      <c r="I65" s="150">
        <v>61.982999999999997</v>
      </c>
      <c r="J65" s="150">
        <v>122.77</v>
      </c>
      <c r="K65" s="150">
        <f>136.271</f>
        <v>136.27099999999999</v>
      </c>
      <c r="L65" s="150">
        <v>142.262</v>
      </c>
      <c r="M65" s="150">
        <v>0</v>
      </c>
      <c r="N65" s="150">
        <f>97.286+47.175</f>
        <v>144.46100000000001</v>
      </c>
      <c r="O65" s="151">
        <f t="shared" si="38"/>
        <v>53.342664634635426</v>
      </c>
      <c r="P65" s="93">
        <v>665.04100000000005</v>
      </c>
      <c r="Q65" s="94">
        <f t="shared" si="39"/>
        <v>-1.8000000000142791E-2</v>
      </c>
      <c r="R65" s="151">
        <f t="shared" si="40"/>
        <v>99.997293399955765</v>
      </c>
      <c r="S65" s="150">
        <f t="shared" si="36"/>
        <v>665.04100000000005</v>
      </c>
      <c r="T65" s="94">
        <f t="shared" si="31"/>
        <v>-1.8000000000142791E-2</v>
      </c>
      <c r="U65" s="151">
        <f t="shared" si="41"/>
        <v>99.997293399955765</v>
      </c>
      <c r="W65" s="150">
        <v>665</v>
      </c>
      <c r="X65" s="94">
        <f t="shared" si="32"/>
        <v>2.299999999991087E-2</v>
      </c>
      <c r="Y65" s="151">
        <f t="shared" si="42"/>
        <v>100.00345864661652</v>
      </c>
    </row>
    <row r="66" spans="1:30" s="32" customFormat="1" ht="99.75" x14ac:dyDescent="0.25">
      <c r="A66" s="134" t="s">
        <v>213</v>
      </c>
      <c r="B66" s="158" t="s">
        <v>179</v>
      </c>
      <c r="C66" s="81"/>
      <c r="D66" s="153">
        <v>292.3</v>
      </c>
      <c r="E66" s="153">
        <v>292.3</v>
      </c>
      <c r="F66" s="150">
        <f t="shared" si="15"/>
        <v>146.136</v>
      </c>
      <c r="G66" s="150">
        <v>0</v>
      </c>
      <c r="H66" s="150">
        <v>0</v>
      </c>
      <c r="I66" s="150">
        <v>146.136</v>
      </c>
      <c r="J66" s="150">
        <v>0</v>
      </c>
      <c r="K66" s="150">
        <v>0</v>
      </c>
      <c r="L66" s="150">
        <v>0</v>
      </c>
      <c r="M66" s="150">
        <v>0</v>
      </c>
      <c r="N66" s="150">
        <v>0</v>
      </c>
      <c r="O66" s="151">
        <f t="shared" si="38"/>
        <v>49.995210400273685</v>
      </c>
      <c r="P66" s="93">
        <v>243.56</v>
      </c>
      <c r="Q66" s="94">
        <f t="shared" si="39"/>
        <v>-97.424000000000007</v>
      </c>
      <c r="R66" s="151">
        <f t="shared" si="40"/>
        <v>60</v>
      </c>
      <c r="S66" s="150">
        <f t="shared" si="36"/>
        <v>243.56</v>
      </c>
      <c r="T66" s="94">
        <f t="shared" si="31"/>
        <v>-97.424000000000007</v>
      </c>
      <c r="U66" s="151">
        <f t="shared" si="41"/>
        <v>60</v>
      </c>
      <c r="W66" s="150">
        <v>146.1</v>
      </c>
      <c r="X66" s="94">
        <f t="shared" si="32"/>
        <v>3.6000000000001364E-2</v>
      </c>
      <c r="Y66" s="151">
        <f t="shared" si="42"/>
        <v>100.02464065708419</v>
      </c>
    </row>
    <row r="67" spans="1:30" s="32" customFormat="1" ht="79.5" x14ac:dyDescent="0.25">
      <c r="A67" s="134" t="s">
        <v>214</v>
      </c>
      <c r="B67" s="158" t="s">
        <v>180</v>
      </c>
      <c r="C67" s="81"/>
      <c r="D67" s="153">
        <v>0</v>
      </c>
      <c r="E67" s="153">
        <f>334.42+147.702+147.702+295.404</f>
        <v>925.22800000000007</v>
      </c>
      <c r="F67" s="150">
        <f t="shared" si="15"/>
        <v>925.22800000000007</v>
      </c>
      <c r="G67" s="150">
        <v>0</v>
      </c>
      <c r="H67" s="150">
        <v>0</v>
      </c>
      <c r="I67" s="150">
        <v>231.63900000000001</v>
      </c>
      <c r="J67" s="150">
        <v>102.78100000000001</v>
      </c>
      <c r="K67" s="150">
        <v>147.702</v>
      </c>
      <c r="L67" s="150">
        <v>147.702</v>
      </c>
      <c r="M67" s="150">
        <v>0</v>
      </c>
      <c r="N67" s="150">
        <v>295.404</v>
      </c>
      <c r="O67" s="151">
        <f t="shared" si="38"/>
        <v>100</v>
      </c>
      <c r="P67" s="93">
        <v>925.22799999999995</v>
      </c>
      <c r="Q67" s="94">
        <f t="shared" si="39"/>
        <v>0</v>
      </c>
      <c r="R67" s="151">
        <f t="shared" si="40"/>
        <v>100.00000000000003</v>
      </c>
      <c r="S67" s="150">
        <f t="shared" si="36"/>
        <v>925.22799999999995</v>
      </c>
      <c r="T67" s="94">
        <f t="shared" si="31"/>
        <v>0</v>
      </c>
      <c r="U67" s="151">
        <f t="shared" si="41"/>
        <v>100.00000000000003</v>
      </c>
      <c r="W67" s="150">
        <v>281.89100000000002</v>
      </c>
      <c r="X67" s="94">
        <f t="shared" si="32"/>
        <v>643.33699999999999</v>
      </c>
      <c r="Y67" s="151">
        <f t="shared" si="42"/>
        <v>328.22190137322582</v>
      </c>
    </row>
    <row r="68" spans="1:30" s="32" customFormat="1" ht="80.25" x14ac:dyDescent="0.25">
      <c r="A68" s="134" t="s">
        <v>215</v>
      </c>
      <c r="B68" s="158" t="s">
        <v>181</v>
      </c>
      <c r="C68" s="81"/>
      <c r="D68" s="153">
        <v>2000</v>
      </c>
      <c r="E68" s="153">
        <v>2000</v>
      </c>
      <c r="F68" s="150">
        <f>SUM(G68:N68)</f>
        <v>444.28499999999997</v>
      </c>
      <c r="G68" s="150">
        <v>0</v>
      </c>
      <c r="H68" s="150">
        <v>0</v>
      </c>
      <c r="I68" s="150">
        <v>0</v>
      </c>
      <c r="J68" s="150">
        <v>0</v>
      </c>
      <c r="K68" s="150">
        <v>0</v>
      </c>
      <c r="L68" s="150">
        <v>0</v>
      </c>
      <c r="M68" s="150">
        <v>158.9</v>
      </c>
      <c r="N68" s="150">
        <v>285.38499999999999</v>
      </c>
      <c r="O68" s="151">
        <f t="shared" si="38"/>
        <v>22.21425</v>
      </c>
      <c r="P68" s="93">
        <v>1282.5</v>
      </c>
      <c r="Q68" s="94">
        <f t="shared" si="39"/>
        <v>-838.21500000000003</v>
      </c>
      <c r="R68" s="151">
        <f t="shared" si="40"/>
        <v>34.642105263157887</v>
      </c>
      <c r="S68" s="150">
        <f>P68</f>
        <v>1282.5</v>
      </c>
      <c r="T68" s="94">
        <f t="shared" si="31"/>
        <v>-838.21500000000003</v>
      </c>
      <c r="U68" s="151">
        <f t="shared" si="41"/>
        <v>34.642105263157887</v>
      </c>
      <c r="W68" s="150">
        <v>0</v>
      </c>
      <c r="X68" s="94">
        <f t="shared" si="32"/>
        <v>444.28499999999997</v>
      </c>
      <c r="Y68" s="151"/>
    </row>
    <row r="69" spans="1:30" s="32" customFormat="1" ht="158.25" x14ac:dyDescent="0.25">
      <c r="A69" s="134" t="s">
        <v>216</v>
      </c>
      <c r="B69" s="158" t="s">
        <v>182</v>
      </c>
      <c r="C69" s="81"/>
      <c r="D69" s="153">
        <v>0</v>
      </c>
      <c r="E69" s="153">
        <v>25</v>
      </c>
      <c r="F69" s="150">
        <f>SUM(G69:N69)</f>
        <v>25</v>
      </c>
      <c r="G69" s="150">
        <v>0</v>
      </c>
      <c r="H69" s="150">
        <v>0</v>
      </c>
      <c r="I69" s="150">
        <v>0</v>
      </c>
      <c r="J69" s="150">
        <v>0</v>
      </c>
      <c r="K69" s="150">
        <v>25</v>
      </c>
      <c r="L69" s="150">
        <v>0</v>
      </c>
      <c r="M69" s="150">
        <v>0</v>
      </c>
      <c r="N69" s="150">
        <v>0</v>
      </c>
      <c r="O69" s="151">
        <f t="shared" si="38"/>
        <v>100</v>
      </c>
      <c r="P69" s="93">
        <v>25</v>
      </c>
      <c r="Q69" s="94">
        <f t="shared" si="39"/>
        <v>0</v>
      </c>
      <c r="R69" s="151">
        <f t="shared" si="40"/>
        <v>100</v>
      </c>
      <c r="S69" s="150">
        <f>P69</f>
        <v>25</v>
      </c>
      <c r="T69" s="94">
        <f t="shared" si="31"/>
        <v>0</v>
      </c>
      <c r="U69" s="151">
        <f t="shared" si="41"/>
        <v>100</v>
      </c>
      <c r="W69" s="150">
        <v>0</v>
      </c>
      <c r="X69" s="94">
        <f t="shared" si="32"/>
        <v>25</v>
      </c>
      <c r="Y69" s="151"/>
    </row>
    <row r="70" spans="1:30" s="8" customFormat="1" ht="23.25" x14ac:dyDescent="0.25">
      <c r="A70" s="171"/>
      <c r="B70" s="101"/>
      <c r="C70" s="132"/>
      <c r="D70" s="152"/>
      <c r="E70" s="152"/>
      <c r="F70" s="146"/>
      <c r="G70" s="146"/>
      <c r="H70" s="146"/>
      <c r="I70" s="146"/>
      <c r="J70" s="146"/>
      <c r="K70" s="146"/>
      <c r="L70" s="146"/>
      <c r="M70" s="146"/>
      <c r="N70" s="146"/>
      <c r="O70" s="149"/>
      <c r="P70" s="152"/>
      <c r="Q70" s="148"/>
      <c r="R70" s="149"/>
      <c r="S70" s="152"/>
      <c r="T70" s="148"/>
      <c r="U70" s="149"/>
      <c r="W70" s="146"/>
      <c r="X70" s="94"/>
      <c r="Y70" s="149"/>
    </row>
    <row r="71" spans="1:30" s="41" customFormat="1" ht="32.25" customHeight="1" x14ac:dyDescent="0.3">
      <c r="A71" s="39"/>
      <c r="B71" s="42" t="s">
        <v>28</v>
      </c>
      <c r="C71" s="173"/>
      <c r="D71" s="138">
        <f>D74+D73</f>
        <v>744122.80200000003</v>
      </c>
      <c r="E71" s="138">
        <f>E74+E73</f>
        <v>773581.29200000002</v>
      </c>
      <c r="F71" s="138">
        <f t="shared" si="15"/>
        <v>510554.29</v>
      </c>
      <c r="G71" s="138">
        <f t="shared" ref="G71:P71" si="44">G74+G73</f>
        <v>46907.102000000006</v>
      </c>
      <c r="H71" s="138">
        <f t="shared" si="44"/>
        <v>54592.909</v>
      </c>
      <c r="I71" s="138">
        <f t="shared" si="44"/>
        <v>57204.304000000004</v>
      </c>
      <c r="J71" s="138">
        <f t="shared" si="44"/>
        <v>57797.366999999998</v>
      </c>
      <c r="K71" s="138">
        <f t="shared" ref="K71:M71" si="45">K74+K73</f>
        <v>79358.313000000009</v>
      </c>
      <c r="L71" s="138">
        <f t="shared" si="45"/>
        <v>145334.226</v>
      </c>
      <c r="M71" s="138">
        <f t="shared" si="45"/>
        <v>28903.632999999998</v>
      </c>
      <c r="N71" s="138">
        <f t="shared" si="44"/>
        <v>40456.436000000002</v>
      </c>
      <c r="O71" s="69">
        <f>F71/E71*100</f>
        <v>65.99878969151699</v>
      </c>
      <c r="P71" s="138">
        <f t="shared" si="44"/>
        <v>511495.4</v>
      </c>
      <c r="Q71" s="68">
        <f>F71-P71</f>
        <v>-941.11000000004424</v>
      </c>
      <c r="R71" s="69">
        <f>F71/P71*100</f>
        <v>99.816008120503128</v>
      </c>
      <c r="S71" s="138">
        <f>S74+S73</f>
        <v>504192.97399999999</v>
      </c>
      <c r="T71" s="68">
        <f>F71-S71</f>
        <v>6361.3159999999916</v>
      </c>
      <c r="U71" s="69">
        <f>F71/S71*100</f>
        <v>101.26168279369953</v>
      </c>
      <c r="W71" s="138">
        <f>W74+W73</f>
        <v>495914.50899999996</v>
      </c>
      <c r="X71" s="68">
        <f>F71-W71</f>
        <v>14639.781000000017</v>
      </c>
      <c r="Y71" s="69">
        <f>F71/W71*100</f>
        <v>102.95207757270921</v>
      </c>
    </row>
    <row r="72" spans="1:30" s="11" customFormat="1" ht="23.25" hidden="1" x14ac:dyDescent="0.25">
      <c r="A72" s="10"/>
      <c r="B72" s="128" t="s">
        <v>102</v>
      </c>
      <c r="C72" s="9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69"/>
      <c r="P72" s="154"/>
      <c r="Q72" s="148"/>
      <c r="R72" s="149"/>
      <c r="S72" s="154"/>
      <c r="T72" s="68"/>
      <c r="U72" s="69"/>
      <c r="W72" s="154"/>
      <c r="X72" s="68"/>
      <c r="Y72" s="69"/>
    </row>
    <row r="73" spans="1:30" s="11" customFormat="1" ht="22.5" hidden="1" x14ac:dyDescent="0.25">
      <c r="A73" s="10"/>
      <c r="B73" s="169" t="s">
        <v>118</v>
      </c>
      <c r="C73" s="19"/>
      <c r="D73" s="138">
        <f>D51</f>
        <v>0</v>
      </c>
      <c r="E73" s="138">
        <f>E51</f>
        <v>0</v>
      </c>
      <c r="F73" s="138">
        <f t="shared" si="15"/>
        <v>0</v>
      </c>
      <c r="G73" s="138">
        <f t="shared" ref="G73:P73" si="46">G51</f>
        <v>0</v>
      </c>
      <c r="H73" s="138">
        <f t="shared" si="46"/>
        <v>0</v>
      </c>
      <c r="I73" s="138">
        <f t="shared" si="46"/>
        <v>0</v>
      </c>
      <c r="J73" s="138">
        <f t="shared" si="46"/>
        <v>0</v>
      </c>
      <c r="K73" s="138">
        <f t="shared" ref="K73:M73" si="47">K51</f>
        <v>0</v>
      </c>
      <c r="L73" s="138">
        <f t="shared" si="47"/>
        <v>0</v>
      </c>
      <c r="M73" s="138">
        <f t="shared" si="47"/>
        <v>0</v>
      </c>
      <c r="N73" s="138">
        <f t="shared" si="46"/>
        <v>0</v>
      </c>
      <c r="O73" s="69"/>
      <c r="P73" s="138">
        <f t="shared" si="46"/>
        <v>0</v>
      </c>
      <c r="Q73" s="68">
        <f>F73-P73</f>
        <v>0</v>
      </c>
      <c r="R73" s="69"/>
      <c r="S73" s="138">
        <f>S51</f>
        <v>0</v>
      </c>
      <c r="T73" s="68">
        <f>F73-S73</f>
        <v>0</v>
      </c>
      <c r="U73" s="69"/>
      <c r="W73" s="138">
        <f>W51</f>
        <v>12210.8</v>
      </c>
      <c r="X73" s="68">
        <f>F73-W73</f>
        <v>-12210.8</v>
      </c>
      <c r="Y73" s="69">
        <f>F73/W73*100</f>
        <v>0</v>
      </c>
    </row>
    <row r="74" spans="1:30" s="11" customFormat="1" ht="22.5" hidden="1" x14ac:dyDescent="0.25">
      <c r="A74" s="10"/>
      <c r="B74" s="169" t="s">
        <v>73</v>
      </c>
      <c r="C74" s="19"/>
      <c r="D74" s="138">
        <f>D75+D76</f>
        <v>744122.80200000003</v>
      </c>
      <c r="E74" s="138">
        <f>E75+E76</f>
        <v>773581.29200000002</v>
      </c>
      <c r="F74" s="138">
        <f t="shared" si="15"/>
        <v>510554.29</v>
      </c>
      <c r="G74" s="138">
        <f t="shared" ref="G74:P74" si="48">G75+G76</f>
        <v>46907.102000000006</v>
      </c>
      <c r="H74" s="138">
        <f t="shared" si="48"/>
        <v>54592.909</v>
      </c>
      <c r="I74" s="138">
        <f t="shared" si="48"/>
        <v>57204.304000000004</v>
      </c>
      <c r="J74" s="138">
        <f t="shared" si="48"/>
        <v>57797.366999999998</v>
      </c>
      <c r="K74" s="138">
        <f t="shared" ref="K74:M74" si="49">K75+K76</f>
        <v>79358.313000000009</v>
      </c>
      <c r="L74" s="138">
        <f t="shared" si="49"/>
        <v>145334.226</v>
      </c>
      <c r="M74" s="138">
        <f t="shared" si="49"/>
        <v>28903.632999999998</v>
      </c>
      <c r="N74" s="138">
        <f t="shared" si="48"/>
        <v>40456.436000000002</v>
      </c>
      <c r="O74" s="69">
        <f>F74/E74*100</f>
        <v>65.99878969151699</v>
      </c>
      <c r="P74" s="138">
        <f t="shared" si="48"/>
        <v>511495.4</v>
      </c>
      <c r="Q74" s="68">
        <f>F74-P74</f>
        <v>-941.11000000004424</v>
      </c>
      <c r="R74" s="69">
        <f>F74/P74*100</f>
        <v>99.816008120503128</v>
      </c>
      <c r="S74" s="138">
        <f>S75+S76</f>
        <v>504192.97399999999</v>
      </c>
      <c r="T74" s="68">
        <f>F74-S74</f>
        <v>6361.3159999999916</v>
      </c>
      <c r="U74" s="69">
        <f>F74/S74*100</f>
        <v>101.26168279369953</v>
      </c>
      <c r="W74" s="138">
        <f t="shared" ref="W74" si="50">W75+W76</f>
        <v>483703.70899999997</v>
      </c>
      <c r="X74" s="68">
        <f>F74-W74</f>
        <v>26850.581000000006</v>
      </c>
      <c r="Y74" s="69">
        <f>F74/W74*100</f>
        <v>105.55103889021451</v>
      </c>
    </row>
    <row r="75" spans="1:30" s="6" customFormat="1" ht="23.25" hidden="1" x14ac:dyDescent="0.25">
      <c r="A75" s="12"/>
      <c r="B75" s="15" t="s">
        <v>107</v>
      </c>
      <c r="C75" s="15"/>
      <c r="D75" s="153">
        <f>D48+D49</f>
        <v>717803.4</v>
      </c>
      <c r="E75" s="153">
        <f>E48+E49+E50</f>
        <v>727803.4</v>
      </c>
      <c r="F75" s="153">
        <f t="shared" si="15"/>
        <v>477372.20000000007</v>
      </c>
      <c r="G75" s="153">
        <f t="shared" ref="G75:P75" si="51">G48+G49+G50</f>
        <v>44804.3</v>
      </c>
      <c r="H75" s="153">
        <f t="shared" si="51"/>
        <v>52312.800000000003</v>
      </c>
      <c r="I75" s="153">
        <f t="shared" si="51"/>
        <v>54480.800000000003</v>
      </c>
      <c r="J75" s="153">
        <f t="shared" ref="J75:M75" si="52">J48+J49+J50</f>
        <v>55203.4</v>
      </c>
      <c r="K75" s="153">
        <f t="shared" si="52"/>
        <v>74617.8</v>
      </c>
      <c r="L75" s="153">
        <f t="shared" si="52"/>
        <v>139119.6</v>
      </c>
      <c r="M75" s="153">
        <f t="shared" si="52"/>
        <v>26610.1</v>
      </c>
      <c r="N75" s="153">
        <f t="shared" si="51"/>
        <v>30223.4</v>
      </c>
      <c r="O75" s="151">
        <f>F75/E75*100</f>
        <v>65.59081752022594</v>
      </c>
      <c r="P75" s="153">
        <f t="shared" si="51"/>
        <v>477372.2</v>
      </c>
      <c r="Q75" s="94">
        <f>F75-P75</f>
        <v>0</v>
      </c>
      <c r="R75" s="151">
        <f>F75/P75*100</f>
        <v>100.00000000000003</v>
      </c>
      <c r="S75" s="153">
        <f>S48+S49+S50</f>
        <v>477372.2</v>
      </c>
      <c r="T75" s="94">
        <f>F75-S75</f>
        <v>0</v>
      </c>
      <c r="U75" s="151">
        <f>F75/S75*100</f>
        <v>100.00000000000003</v>
      </c>
      <c r="W75" s="153">
        <f>W48+W49</f>
        <v>444284.19999999995</v>
      </c>
      <c r="X75" s="94">
        <f>F75-W75</f>
        <v>33088.000000000116</v>
      </c>
      <c r="Y75" s="151">
        <f>F75/W75*100</f>
        <v>107.44748519078557</v>
      </c>
    </row>
    <row r="76" spans="1:30" s="6" customFormat="1" ht="23.25" hidden="1" x14ac:dyDescent="0.25">
      <c r="A76" s="12"/>
      <c r="B76" s="129" t="s">
        <v>106</v>
      </c>
      <c r="C76" s="15"/>
      <c r="D76" s="153">
        <f>D55+D58+D63+D56+D62</f>
        <v>26319.402000000002</v>
      </c>
      <c r="E76" s="153">
        <f>E55+E58+E63+E56+E62+E57</f>
        <v>45777.891999999993</v>
      </c>
      <c r="F76" s="153">
        <f t="shared" ref="F76:N76" si="53">F55+F58+F63+F56+F62+F57</f>
        <v>33182.090000000004</v>
      </c>
      <c r="G76" s="153">
        <f t="shared" si="53"/>
        <v>2102.8020000000001</v>
      </c>
      <c r="H76" s="153">
        <f t="shared" si="53"/>
        <v>2280.1089999999999</v>
      </c>
      <c r="I76" s="153">
        <f t="shared" si="53"/>
        <v>2723.5039999999999</v>
      </c>
      <c r="J76" s="153">
        <f t="shared" si="53"/>
        <v>2593.9670000000001</v>
      </c>
      <c r="K76" s="153">
        <f t="shared" si="53"/>
        <v>4740.5129999999999</v>
      </c>
      <c r="L76" s="153">
        <f t="shared" si="53"/>
        <v>6214.6260000000002</v>
      </c>
      <c r="M76" s="153">
        <f t="shared" ref="M76" si="54">M55+M58+M63+M56+M62+M57</f>
        <v>2293.5329999999999</v>
      </c>
      <c r="N76" s="153">
        <f t="shared" si="53"/>
        <v>10233.036</v>
      </c>
      <c r="O76" s="151">
        <f>F76/E76*100</f>
        <v>72.484967197703227</v>
      </c>
      <c r="P76" s="153">
        <f>P55+P58+P63+P56+P62+P57</f>
        <v>34123.199999999997</v>
      </c>
      <c r="Q76" s="94">
        <f>F76-P76</f>
        <v>-941.10999999999331</v>
      </c>
      <c r="R76" s="151">
        <f>F76/P76*100</f>
        <v>97.242023022459819</v>
      </c>
      <c r="S76" s="153">
        <f>S55+S58+S63+S56+S62</f>
        <v>26820.773999999998</v>
      </c>
      <c r="T76" s="94">
        <f>F76-S76</f>
        <v>6361.3160000000062</v>
      </c>
      <c r="U76" s="151">
        <f>F76/S76*100</f>
        <v>123.71786884300955</v>
      </c>
      <c r="W76" s="153">
        <f>W55+W58+W63+W56+W62+W61+W57+W52+W53+W54</f>
        <v>39419.509000000005</v>
      </c>
      <c r="X76" s="94">
        <f>F76-W76</f>
        <v>-6237.4190000000017</v>
      </c>
      <c r="Y76" s="151">
        <f>F76/W76*100</f>
        <v>84.176822192280483</v>
      </c>
    </row>
    <row r="77" spans="1:30" s="6" customFormat="1" ht="23.25" x14ac:dyDescent="0.25">
      <c r="A77" s="12"/>
      <c r="B77" s="34"/>
      <c r="C77" s="15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1"/>
      <c r="P77" s="153"/>
      <c r="Q77" s="94"/>
      <c r="R77" s="151"/>
      <c r="S77" s="153"/>
      <c r="T77" s="94"/>
      <c r="U77" s="151"/>
      <c r="W77" s="153"/>
      <c r="X77" s="94"/>
      <c r="Y77" s="151"/>
    </row>
    <row r="78" spans="1:30" s="112" customFormat="1" ht="28.5" customHeight="1" x14ac:dyDescent="0.3">
      <c r="A78" s="105"/>
      <c r="B78" s="106" t="s">
        <v>27</v>
      </c>
      <c r="C78" s="107"/>
      <c r="D78" s="108">
        <f>D71+D47</f>
        <v>4495744.1909999996</v>
      </c>
      <c r="E78" s="108">
        <f>E71+E47</f>
        <v>4525202.6809999999</v>
      </c>
      <c r="F78" s="108">
        <f t="shared" si="15"/>
        <v>2877159.0139999995</v>
      </c>
      <c r="G78" s="108">
        <f t="shared" ref="G78:P78" si="55">G71+G47</f>
        <v>284202.34499999997</v>
      </c>
      <c r="H78" s="108">
        <f t="shared" si="55"/>
        <v>359907.94099999999</v>
      </c>
      <c r="I78" s="108">
        <f t="shared" si="55"/>
        <v>333994.50400000002</v>
      </c>
      <c r="J78" s="108">
        <f t="shared" si="55"/>
        <v>368343.10199999996</v>
      </c>
      <c r="K78" s="108">
        <f t="shared" ref="K78:M78" si="56">K71+K47</f>
        <v>387851.82199999999</v>
      </c>
      <c r="L78" s="108">
        <f t="shared" si="56"/>
        <v>439814.652</v>
      </c>
      <c r="M78" s="108">
        <f t="shared" si="56"/>
        <v>352295.92200000002</v>
      </c>
      <c r="N78" s="108">
        <f t="shared" si="55"/>
        <v>350748.72600000002</v>
      </c>
      <c r="O78" s="110">
        <f>F78/E78*100</f>
        <v>63.580776747975229</v>
      </c>
      <c r="P78" s="108">
        <f t="shared" si="55"/>
        <v>2764804.5780000002</v>
      </c>
      <c r="Q78" s="109">
        <f>F78-P78</f>
        <v>112354.43599999929</v>
      </c>
      <c r="R78" s="110">
        <f>F78/P78*100</f>
        <v>104.06373878624268</v>
      </c>
      <c r="S78" s="108">
        <f>S71+S47</f>
        <v>3005273.8999999994</v>
      </c>
      <c r="T78" s="109">
        <f>F78-S78</f>
        <v>-128114.88599999994</v>
      </c>
      <c r="U78" s="110">
        <f>F78/S78*100</f>
        <v>95.736998015388892</v>
      </c>
      <c r="W78" s="108">
        <f>W71+W47</f>
        <v>2539242.8300000005</v>
      </c>
      <c r="X78" s="109">
        <f>F78-W78</f>
        <v>337916.18399999896</v>
      </c>
      <c r="Y78" s="110">
        <f>F78/W78*100</f>
        <v>113.30775379210183</v>
      </c>
      <c r="Z78" s="108">
        <v>2539242.83</v>
      </c>
      <c r="AA78" s="111">
        <f>Z78-W78</f>
        <v>0</v>
      </c>
      <c r="AD78" s="111">
        <f>2708373.649-P78</f>
        <v>-56430.929000000004</v>
      </c>
    </row>
    <row r="79" spans="1:30" s="8" customFormat="1" ht="20.25" x14ac:dyDescent="0.25">
      <c r="A79" s="180" t="s">
        <v>9</v>
      </c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2"/>
    </row>
    <row r="80" spans="1:30" s="43" customFormat="1" ht="40.5" customHeight="1" x14ac:dyDescent="0.3">
      <c r="A80" s="171">
        <v>1</v>
      </c>
      <c r="B80" s="139" t="s">
        <v>12</v>
      </c>
      <c r="C80" s="132" t="s">
        <v>21</v>
      </c>
      <c r="D80" s="152">
        <f>D81+D82</f>
        <v>70446.198000000004</v>
      </c>
      <c r="E80" s="152">
        <f t="shared" ref="E80" si="57">D80</f>
        <v>70446.198000000004</v>
      </c>
      <c r="F80" s="146">
        <f t="shared" ref="F80:F106" si="58">SUM(G80:N80)</f>
        <v>41816.270000000004</v>
      </c>
      <c r="G80" s="146">
        <f t="shared" ref="G80:P80" si="59">G81+G82</f>
        <v>3860.3049999999998</v>
      </c>
      <c r="H80" s="146">
        <f t="shared" ref="H80:M80" si="60">H81+H82</f>
        <v>8760.2950000000001</v>
      </c>
      <c r="I80" s="146">
        <f t="shared" si="60"/>
        <v>5848.7789999999995</v>
      </c>
      <c r="J80" s="146">
        <f t="shared" si="60"/>
        <v>5691.4560000000001</v>
      </c>
      <c r="K80" s="146">
        <f t="shared" si="60"/>
        <v>5209.8320000000003</v>
      </c>
      <c r="L80" s="146">
        <f t="shared" si="60"/>
        <v>4482.402</v>
      </c>
      <c r="M80" s="146">
        <f t="shared" si="60"/>
        <v>2835.93</v>
      </c>
      <c r="N80" s="146">
        <f t="shared" si="59"/>
        <v>5127.2709999999997</v>
      </c>
      <c r="O80" s="149">
        <f>F80/E80*100</f>
        <v>59.359158034334236</v>
      </c>
      <c r="P80" s="147">
        <f t="shared" si="59"/>
        <v>46964.132000000005</v>
      </c>
      <c r="Q80" s="148">
        <f t="shared" ref="Q80:Q94" si="61">F80-P80</f>
        <v>-5147.862000000001</v>
      </c>
      <c r="R80" s="149">
        <f>F80/P80*100</f>
        <v>89.038737051501343</v>
      </c>
      <c r="S80" s="148">
        <f t="shared" ref="S80" si="62">S81+S82</f>
        <v>46964.132000000005</v>
      </c>
      <c r="T80" s="148">
        <f t="shared" ref="T80:T94" si="63">F80-S80</f>
        <v>-5147.862000000001</v>
      </c>
      <c r="U80" s="149">
        <f>F80/S80*100</f>
        <v>89.038737051501343</v>
      </c>
      <c r="W80" s="146">
        <f t="shared" ref="W80" si="64">W81+W82</f>
        <v>41914.203999999998</v>
      </c>
      <c r="X80" s="148">
        <f t="shared" ref="X80:X94" si="65">F80-W80</f>
        <v>-97.93399999999383</v>
      </c>
      <c r="Y80" s="149">
        <f t="shared" ref="Y80:Y91" si="66">F80/W80*100</f>
        <v>99.766346511077742</v>
      </c>
    </row>
    <row r="81" spans="1:26" s="46" customFormat="1" ht="50.25" customHeight="1" x14ac:dyDescent="0.3">
      <c r="A81" s="134" t="s">
        <v>123</v>
      </c>
      <c r="B81" s="80" t="s">
        <v>119</v>
      </c>
      <c r="C81" s="15" t="s">
        <v>120</v>
      </c>
      <c r="D81" s="153">
        <v>70446.198000000004</v>
      </c>
      <c r="E81" s="153">
        <v>70446.198000000004</v>
      </c>
      <c r="F81" s="150">
        <f t="shared" si="58"/>
        <v>33969.122000000003</v>
      </c>
      <c r="G81" s="150">
        <v>3552.8009999999999</v>
      </c>
      <c r="H81" s="150">
        <v>6339.2139999999999</v>
      </c>
      <c r="I81" s="150">
        <v>5401.0349999999999</v>
      </c>
      <c r="J81" s="150">
        <v>4981.4170000000004</v>
      </c>
      <c r="K81" s="150">
        <v>4721.1689999999999</v>
      </c>
      <c r="L81" s="150">
        <v>2852.4169999999999</v>
      </c>
      <c r="M81" s="150">
        <v>2398.2049999999999</v>
      </c>
      <c r="N81" s="150">
        <v>3722.864</v>
      </c>
      <c r="O81" s="151">
        <f>F81/E81*100</f>
        <v>48.219950777187435</v>
      </c>
      <c r="P81" s="93">
        <v>46964.132000000005</v>
      </c>
      <c r="Q81" s="94">
        <f t="shared" si="61"/>
        <v>-12995.010000000002</v>
      </c>
      <c r="R81" s="151">
        <f>F81/P81*100</f>
        <v>72.32992616578116</v>
      </c>
      <c r="S81" s="94">
        <f>E81/12*8</f>
        <v>46964.132000000005</v>
      </c>
      <c r="T81" s="94">
        <f t="shared" si="63"/>
        <v>-12995.010000000002</v>
      </c>
      <c r="U81" s="151">
        <f>F81/S81*100</f>
        <v>72.32992616578116</v>
      </c>
      <c r="W81" s="150">
        <v>28385.713</v>
      </c>
      <c r="X81" s="94">
        <f t="shared" si="65"/>
        <v>5583.4090000000033</v>
      </c>
      <c r="Y81" s="151">
        <f t="shared" si="66"/>
        <v>119.66978599410206</v>
      </c>
    </row>
    <row r="82" spans="1:26" s="46" customFormat="1" ht="28.5" customHeight="1" x14ac:dyDescent="0.3">
      <c r="A82" s="134" t="s">
        <v>124</v>
      </c>
      <c r="B82" s="80" t="s">
        <v>121</v>
      </c>
      <c r="C82" s="15" t="s">
        <v>122</v>
      </c>
      <c r="D82" s="153">
        <v>0</v>
      </c>
      <c r="E82" s="153">
        <v>0</v>
      </c>
      <c r="F82" s="150">
        <f t="shared" si="58"/>
        <v>7847.148000000001</v>
      </c>
      <c r="G82" s="150">
        <v>307.50400000000002</v>
      </c>
      <c r="H82" s="150">
        <v>2421.0810000000001</v>
      </c>
      <c r="I82" s="150">
        <v>447.74400000000003</v>
      </c>
      <c r="J82" s="150">
        <v>710.03899999999999</v>
      </c>
      <c r="K82" s="150">
        <v>488.66300000000001</v>
      </c>
      <c r="L82" s="150">
        <v>1629.9849999999999</v>
      </c>
      <c r="M82" s="150">
        <v>437.72500000000002</v>
      </c>
      <c r="N82" s="150">
        <v>1404.4069999999999</v>
      </c>
      <c r="O82" s="151"/>
      <c r="P82" s="93">
        <v>0</v>
      </c>
      <c r="Q82" s="94">
        <f t="shared" si="61"/>
        <v>7847.148000000001</v>
      </c>
      <c r="R82" s="151"/>
      <c r="S82" s="94"/>
      <c r="T82" s="94">
        <f t="shared" si="63"/>
        <v>7847.148000000001</v>
      </c>
      <c r="U82" s="151"/>
      <c r="W82" s="150">
        <v>13528.491</v>
      </c>
      <c r="X82" s="94">
        <f t="shared" si="65"/>
        <v>-5681.3429999999989</v>
      </c>
      <c r="Y82" s="151">
        <f t="shared" si="66"/>
        <v>58.004606722213147</v>
      </c>
    </row>
    <row r="83" spans="1:26" s="43" customFormat="1" ht="28.5" customHeight="1" x14ac:dyDescent="0.3">
      <c r="A83" s="171">
        <v>2</v>
      </c>
      <c r="B83" s="92" t="s">
        <v>31</v>
      </c>
      <c r="C83" s="132" t="s">
        <v>30</v>
      </c>
      <c r="D83" s="152">
        <v>2267.6</v>
      </c>
      <c r="E83" s="152">
        <v>2267.6</v>
      </c>
      <c r="F83" s="146">
        <f t="shared" si="58"/>
        <v>1345.6869999999999</v>
      </c>
      <c r="G83" s="146">
        <v>68.402000000000001</v>
      </c>
      <c r="H83" s="146">
        <v>214.45699999999999</v>
      </c>
      <c r="I83" s="146">
        <v>85.447999999999993</v>
      </c>
      <c r="J83" s="146">
        <v>196.76599999999999</v>
      </c>
      <c r="K83" s="146">
        <v>289.00900000000001</v>
      </c>
      <c r="L83" s="146">
        <v>97.941000000000003</v>
      </c>
      <c r="M83" s="146">
        <v>108.371</v>
      </c>
      <c r="N83" s="146">
        <v>285.29300000000001</v>
      </c>
      <c r="O83" s="149">
        <f t="shared" ref="O83:O91" si="67">F83/E83*100</f>
        <v>59.344108308343621</v>
      </c>
      <c r="P83" s="147">
        <v>1328.7049999999999</v>
      </c>
      <c r="Q83" s="148">
        <f t="shared" si="61"/>
        <v>16.981999999999971</v>
      </c>
      <c r="R83" s="149">
        <f t="shared" ref="R83:R91" si="68">F83/P83*100</f>
        <v>101.27808655796433</v>
      </c>
      <c r="S83" s="148">
        <f t="shared" ref="S83:S86" si="69">E83/12*8</f>
        <v>1511.7333333333333</v>
      </c>
      <c r="T83" s="148">
        <f t="shared" si="63"/>
        <v>-166.04633333333345</v>
      </c>
      <c r="U83" s="149">
        <f t="shared" ref="U83:U91" si="70">F83/S83*100</f>
        <v>89.016162462515425</v>
      </c>
      <c r="W83" s="146">
        <v>672.57900000000006</v>
      </c>
      <c r="X83" s="148">
        <f t="shared" si="65"/>
        <v>673.10799999999983</v>
      </c>
      <c r="Y83" s="149">
        <f t="shared" si="66"/>
        <v>200.07865247056475</v>
      </c>
    </row>
    <row r="84" spans="1:26" s="43" customFormat="1" ht="50.25" customHeight="1" x14ac:dyDescent="0.3">
      <c r="A84" s="171">
        <f t="shared" ref="A84:A87" si="71">A83+1</f>
        <v>3</v>
      </c>
      <c r="B84" s="92" t="s">
        <v>86</v>
      </c>
      <c r="C84" s="132">
        <v>21110000</v>
      </c>
      <c r="D84" s="152">
        <v>160</v>
      </c>
      <c r="E84" s="152">
        <v>160</v>
      </c>
      <c r="F84" s="146">
        <f t="shared" si="58"/>
        <v>79.931999999999988</v>
      </c>
      <c r="G84" s="146">
        <v>0</v>
      </c>
      <c r="H84" s="146">
        <v>0</v>
      </c>
      <c r="I84" s="146">
        <v>13.731999999999999</v>
      </c>
      <c r="J84" s="146">
        <v>0</v>
      </c>
      <c r="K84" s="146">
        <v>0</v>
      </c>
      <c r="L84" s="146">
        <v>26.204999999999998</v>
      </c>
      <c r="M84" s="146">
        <v>39.994999999999997</v>
      </c>
      <c r="N84" s="146">
        <v>0</v>
      </c>
      <c r="O84" s="149">
        <f t="shared" si="67"/>
        <v>49.957499999999996</v>
      </c>
      <c r="P84" s="147">
        <v>79.5</v>
      </c>
      <c r="Q84" s="148">
        <f t="shared" si="61"/>
        <v>0.43199999999998795</v>
      </c>
      <c r="R84" s="149">
        <f t="shared" si="68"/>
        <v>100.54339622641508</v>
      </c>
      <c r="S84" s="148">
        <f t="shared" si="69"/>
        <v>106.66666666666667</v>
      </c>
      <c r="T84" s="148">
        <f t="shared" si="63"/>
        <v>-26.734666666666683</v>
      </c>
      <c r="U84" s="149">
        <f t="shared" si="70"/>
        <v>74.936249999999987</v>
      </c>
      <c r="W84" s="146">
        <v>10.75</v>
      </c>
      <c r="X84" s="148">
        <f t="shared" si="65"/>
        <v>69.181999999999988</v>
      </c>
      <c r="Y84" s="149">
        <f t="shared" si="66"/>
        <v>743.55348837209294</v>
      </c>
    </row>
    <row r="85" spans="1:26" s="43" customFormat="1" ht="71.25" customHeight="1" x14ac:dyDescent="0.3">
      <c r="A85" s="171">
        <f t="shared" si="71"/>
        <v>4</v>
      </c>
      <c r="B85" s="139" t="s">
        <v>26</v>
      </c>
      <c r="C85" s="132" t="s">
        <v>25</v>
      </c>
      <c r="D85" s="152">
        <v>15.7</v>
      </c>
      <c r="E85" s="152">
        <v>140.69999999999999</v>
      </c>
      <c r="F85" s="146">
        <f t="shared" si="58"/>
        <v>148.16899999999995</v>
      </c>
      <c r="G85" s="146">
        <v>36.722000000000001</v>
      </c>
      <c r="H85" s="146">
        <v>1.931</v>
      </c>
      <c r="I85" s="146">
        <v>93.322999999999993</v>
      </c>
      <c r="J85" s="146">
        <v>2.0529999999999999</v>
      </c>
      <c r="K85" s="146">
        <v>7.9269999999999996</v>
      </c>
      <c r="L85" s="146">
        <v>5.2</v>
      </c>
      <c r="M85" s="146">
        <v>0.2</v>
      </c>
      <c r="N85" s="146">
        <v>0.81299999999999994</v>
      </c>
      <c r="O85" s="149">
        <f t="shared" si="67"/>
        <v>105.30845771144277</v>
      </c>
      <c r="P85" s="147">
        <v>140.69999999999999</v>
      </c>
      <c r="Q85" s="148">
        <f t="shared" si="61"/>
        <v>7.4689999999999657</v>
      </c>
      <c r="R85" s="149">
        <f t="shared" si="68"/>
        <v>105.30845771144277</v>
      </c>
      <c r="S85" s="148">
        <f t="shared" si="69"/>
        <v>93.8</v>
      </c>
      <c r="T85" s="148">
        <f t="shared" si="63"/>
        <v>54.368999999999957</v>
      </c>
      <c r="U85" s="149">
        <f t="shared" si="70"/>
        <v>157.96268656716416</v>
      </c>
      <c r="W85" s="146">
        <v>11.261999999999999</v>
      </c>
      <c r="X85" s="148">
        <f t="shared" si="65"/>
        <v>136.90699999999995</v>
      </c>
      <c r="Y85" s="149">
        <f t="shared" si="66"/>
        <v>1315.6544130705024</v>
      </c>
    </row>
    <row r="86" spans="1:26" s="43" customFormat="1" ht="77.25" customHeight="1" x14ac:dyDescent="0.3">
      <c r="A86" s="171">
        <f t="shared" si="71"/>
        <v>5</v>
      </c>
      <c r="B86" s="139" t="s">
        <v>67</v>
      </c>
      <c r="C86" s="132" t="s">
        <v>68</v>
      </c>
      <c r="D86" s="152">
        <v>0.4</v>
      </c>
      <c r="E86" s="152">
        <v>0.4</v>
      </c>
      <c r="F86" s="146">
        <f t="shared" si="58"/>
        <v>0.15800000000000003</v>
      </c>
      <c r="G86" s="146">
        <v>3.5000000000000003E-2</v>
      </c>
      <c r="H86" s="146">
        <v>2.4E-2</v>
      </c>
      <c r="I86" s="146">
        <v>1.7000000000000001E-2</v>
      </c>
      <c r="J86" s="146">
        <v>1.4E-2</v>
      </c>
      <c r="K86" s="146">
        <v>2.7E-2</v>
      </c>
      <c r="L86" s="146">
        <v>1.7999999999999999E-2</v>
      </c>
      <c r="M86" s="146">
        <v>1.4E-2</v>
      </c>
      <c r="N86" s="146">
        <v>8.9999999999999993E-3</v>
      </c>
      <c r="O86" s="149">
        <f t="shared" si="67"/>
        <v>39.500000000000007</v>
      </c>
      <c r="P86" s="147">
        <v>0.14899999999999999</v>
      </c>
      <c r="Q86" s="148">
        <f t="shared" si="61"/>
        <v>9.0000000000000357E-3</v>
      </c>
      <c r="R86" s="149">
        <f t="shared" si="68"/>
        <v>106.04026845637587</v>
      </c>
      <c r="S86" s="148">
        <f t="shared" si="69"/>
        <v>0.26666666666666666</v>
      </c>
      <c r="T86" s="148">
        <f t="shared" si="63"/>
        <v>-0.10866666666666663</v>
      </c>
      <c r="U86" s="149">
        <f t="shared" si="70"/>
        <v>59.250000000000014</v>
      </c>
      <c r="W86" s="146">
        <v>0.316</v>
      </c>
      <c r="X86" s="148">
        <f t="shared" si="65"/>
        <v>-0.15799999999999997</v>
      </c>
      <c r="Y86" s="149">
        <f t="shared" si="66"/>
        <v>50.000000000000014</v>
      </c>
    </row>
    <row r="87" spans="1:26" s="24" customFormat="1" ht="32.25" customHeight="1" x14ac:dyDescent="0.3">
      <c r="A87" s="10">
        <f t="shared" si="71"/>
        <v>6</v>
      </c>
      <c r="B87" s="14" t="s">
        <v>10</v>
      </c>
      <c r="C87" s="7"/>
      <c r="D87" s="138">
        <f>SUM(D88:D91)</f>
        <v>90003.199999999997</v>
      </c>
      <c r="E87" s="138">
        <f>SUM(E88:E91)</f>
        <v>98303.2</v>
      </c>
      <c r="F87" s="138">
        <f>SUM(G87:N87)</f>
        <v>59103.591</v>
      </c>
      <c r="G87" s="138">
        <f t="shared" ref="G87:P87" si="72">SUM(G88:G91)</f>
        <v>8655.4589999999989</v>
      </c>
      <c r="H87" s="138">
        <f t="shared" si="72"/>
        <v>1630.12</v>
      </c>
      <c r="I87" s="138">
        <f t="shared" si="72"/>
        <v>10702.722</v>
      </c>
      <c r="J87" s="138">
        <f t="shared" si="72"/>
        <v>5034.759</v>
      </c>
      <c r="K87" s="138">
        <f t="shared" ref="K87:M87" si="73">SUM(K88:K91)</f>
        <v>5015.4139999999998</v>
      </c>
      <c r="L87" s="138">
        <f t="shared" si="73"/>
        <v>13135.803</v>
      </c>
      <c r="M87" s="138">
        <f t="shared" si="73"/>
        <v>3736.8130000000001</v>
      </c>
      <c r="N87" s="138">
        <f t="shared" si="72"/>
        <v>11192.501</v>
      </c>
      <c r="O87" s="69">
        <f t="shared" si="67"/>
        <v>60.123771148853756</v>
      </c>
      <c r="P87" s="138">
        <f t="shared" si="72"/>
        <v>57262.985999999997</v>
      </c>
      <c r="Q87" s="138">
        <f t="shared" si="61"/>
        <v>1840.6050000000032</v>
      </c>
      <c r="R87" s="69">
        <f t="shared" si="68"/>
        <v>103.21430146866599</v>
      </c>
      <c r="S87" s="138">
        <f>SUM(S88:S91)</f>
        <v>65535.466666666667</v>
      </c>
      <c r="T87" s="68">
        <f t="shared" si="63"/>
        <v>-6431.8756666666668</v>
      </c>
      <c r="U87" s="69">
        <f t="shared" si="70"/>
        <v>90.18565672328063</v>
      </c>
      <c r="W87" s="138">
        <f>SUM(W88:W92)</f>
        <v>50674.27900000001</v>
      </c>
      <c r="X87" s="68">
        <f t="shared" si="65"/>
        <v>8429.3119999999908</v>
      </c>
      <c r="Y87" s="69">
        <f t="shared" si="66"/>
        <v>116.63430080574011</v>
      </c>
      <c r="Z87" s="44"/>
    </row>
    <row r="88" spans="1:26" s="46" customFormat="1" ht="39" x14ac:dyDescent="0.3">
      <c r="A88" s="12" t="s">
        <v>140</v>
      </c>
      <c r="B88" s="80" t="s">
        <v>150</v>
      </c>
      <c r="C88" s="15" t="s">
        <v>65</v>
      </c>
      <c r="D88" s="153">
        <v>3.2</v>
      </c>
      <c r="E88" s="153">
        <v>3.2</v>
      </c>
      <c r="F88" s="150">
        <f t="shared" si="58"/>
        <v>2.2000000000000002</v>
      </c>
      <c r="G88" s="150">
        <v>0</v>
      </c>
      <c r="H88" s="150">
        <v>0</v>
      </c>
      <c r="I88" s="150">
        <v>0</v>
      </c>
      <c r="J88" s="150">
        <v>0</v>
      </c>
      <c r="K88" s="150">
        <v>0</v>
      </c>
      <c r="L88" s="150">
        <v>2.2000000000000002</v>
      </c>
      <c r="M88" s="150">
        <v>0</v>
      </c>
      <c r="N88" s="150">
        <v>0</v>
      </c>
      <c r="O88" s="151">
        <f t="shared" si="67"/>
        <v>68.75</v>
      </c>
      <c r="P88" s="93">
        <v>2.2000000000000002</v>
      </c>
      <c r="Q88" s="94">
        <f t="shared" si="61"/>
        <v>0</v>
      </c>
      <c r="R88" s="151">
        <f t="shared" si="68"/>
        <v>100</v>
      </c>
      <c r="S88" s="94">
        <f t="shared" ref="S88:S91" si="74">E88/12*8</f>
        <v>2.1333333333333333</v>
      </c>
      <c r="T88" s="94">
        <f t="shared" si="63"/>
        <v>6.6666666666666874E-2</v>
      </c>
      <c r="U88" s="151">
        <f t="shared" si="70"/>
        <v>103.125</v>
      </c>
      <c r="W88" s="150">
        <v>2.2000000000000002</v>
      </c>
      <c r="X88" s="94">
        <f t="shared" si="65"/>
        <v>0</v>
      </c>
      <c r="Y88" s="151">
        <f t="shared" si="66"/>
        <v>100</v>
      </c>
    </row>
    <row r="89" spans="1:26" s="46" customFormat="1" ht="34.5" customHeight="1" x14ac:dyDescent="0.3">
      <c r="A89" s="12" t="s">
        <v>141</v>
      </c>
      <c r="B89" s="80" t="s">
        <v>45</v>
      </c>
      <c r="C89" s="15" t="s">
        <v>44</v>
      </c>
      <c r="D89" s="153">
        <v>0</v>
      </c>
      <c r="E89" s="153">
        <v>10800</v>
      </c>
      <c r="F89" s="150">
        <f t="shared" si="58"/>
        <v>12025.137999999999</v>
      </c>
      <c r="G89" s="150">
        <v>6037.933</v>
      </c>
      <c r="H89" s="150">
        <v>25.300999999999998</v>
      </c>
      <c r="I89" s="150">
        <v>2133.0540000000001</v>
      </c>
      <c r="J89" s="150">
        <v>152.38399999999999</v>
      </c>
      <c r="K89" s="150">
        <v>501.82100000000003</v>
      </c>
      <c r="L89" s="150">
        <v>1883.74</v>
      </c>
      <c r="M89" s="150">
        <v>1009.088</v>
      </c>
      <c r="N89" s="150">
        <v>281.81700000000001</v>
      </c>
      <c r="O89" s="151">
        <f t="shared" si="67"/>
        <v>111.34387037037037</v>
      </c>
      <c r="P89" s="93">
        <v>10800</v>
      </c>
      <c r="Q89" s="94">
        <f t="shared" si="61"/>
        <v>1225.137999999999</v>
      </c>
      <c r="R89" s="151">
        <f t="shared" si="68"/>
        <v>111.34387037037037</v>
      </c>
      <c r="S89" s="94">
        <f t="shared" si="74"/>
        <v>7200</v>
      </c>
      <c r="T89" s="94">
        <f t="shared" si="63"/>
        <v>4825.137999999999</v>
      </c>
      <c r="U89" s="151">
        <f t="shared" si="70"/>
        <v>167.01580555555554</v>
      </c>
      <c r="W89" s="150">
        <v>14016.375</v>
      </c>
      <c r="X89" s="94">
        <f t="shared" si="65"/>
        <v>-1991.237000000001</v>
      </c>
      <c r="Y89" s="151">
        <f t="shared" si="66"/>
        <v>85.793495108399981</v>
      </c>
    </row>
    <row r="90" spans="1:26" s="46" customFormat="1" ht="39" x14ac:dyDescent="0.3">
      <c r="A90" s="12" t="s">
        <v>142</v>
      </c>
      <c r="B90" s="80" t="s">
        <v>36</v>
      </c>
      <c r="C90" s="15" t="s">
        <v>22</v>
      </c>
      <c r="D90" s="153">
        <v>20000</v>
      </c>
      <c r="E90" s="153">
        <v>20000</v>
      </c>
      <c r="F90" s="150">
        <f t="shared" si="58"/>
        <v>12184.530999999999</v>
      </c>
      <c r="G90" s="150">
        <v>0</v>
      </c>
      <c r="H90" s="150">
        <v>0</v>
      </c>
      <c r="I90" s="150">
        <v>2908.8789999999999</v>
      </c>
      <c r="J90" s="150">
        <v>1291.645</v>
      </c>
      <c r="K90" s="150">
        <v>0</v>
      </c>
      <c r="L90" s="150">
        <v>7448.0630000000001</v>
      </c>
      <c r="M90" s="150">
        <v>535.94399999999996</v>
      </c>
      <c r="N90" s="150">
        <v>0</v>
      </c>
      <c r="O90" s="151">
        <f t="shared" si="67"/>
        <v>60.922654999999992</v>
      </c>
      <c r="P90" s="93">
        <v>12184.531000000001</v>
      </c>
      <c r="Q90" s="94">
        <f t="shared" si="61"/>
        <v>0</v>
      </c>
      <c r="R90" s="151">
        <f t="shared" si="68"/>
        <v>99.999999999999986</v>
      </c>
      <c r="S90" s="94">
        <f t="shared" si="74"/>
        <v>13333.333333333334</v>
      </c>
      <c r="T90" s="94">
        <f t="shared" si="63"/>
        <v>-1148.8023333333349</v>
      </c>
      <c r="U90" s="151">
        <f t="shared" si="70"/>
        <v>91.383982499999988</v>
      </c>
      <c r="W90" s="150">
        <v>3282.4110000000005</v>
      </c>
      <c r="X90" s="94">
        <f t="shared" si="65"/>
        <v>8902.119999999999</v>
      </c>
      <c r="Y90" s="151">
        <f t="shared" si="66"/>
        <v>371.20674406708957</v>
      </c>
    </row>
    <row r="91" spans="1:26" s="45" customFormat="1" ht="30.75" customHeight="1" x14ac:dyDescent="0.3">
      <c r="A91" s="12" t="s">
        <v>143</v>
      </c>
      <c r="B91" s="34" t="s">
        <v>69</v>
      </c>
      <c r="C91" s="15" t="s">
        <v>42</v>
      </c>
      <c r="D91" s="153">
        <v>70000</v>
      </c>
      <c r="E91" s="153">
        <v>67500</v>
      </c>
      <c r="F91" s="153">
        <f t="shared" si="58"/>
        <v>34891.721999999994</v>
      </c>
      <c r="G91" s="153">
        <v>2617.5259999999998</v>
      </c>
      <c r="H91" s="153">
        <v>1604.819</v>
      </c>
      <c r="I91" s="153">
        <v>5660.7889999999998</v>
      </c>
      <c r="J91" s="153">
        <v>3590.73</v>
      </c>
      <c r="K91" s="153">
        <v>4513.5929999999998</v>
      </c>
      <c r="L91" s="153">
        <v>3801.8</v>
      </c>
      <c r="M91" s="153">
        <v>2191.7809999999999</v>
      </c>
      <c r="N91" s="153">
        <v>10910.683999999999</v>
      </c>
      <c r="O91" s="151">
        <f t="shared" si="67"/>
        <v>51.691439999999986</v>
      </c>
      <c r="P91" s="153">
        <v>34276.254999999997</v>
      </c>
      <c r="Q91" s="94">
        <f t="shared" si="61"/>
        <v>615.46699999999691</v>
      </c>
      <c r="R91" s="151">
        <f t="shared" si="68"/>
        <v>101.79560748395645</v>
      </c>
      <c r="S91" s="94">
        <f t="shared" si="74"/>
        <v>45000</v>
      </c>
      <c r="T91" s="94">
        <f t="shared" si="63"/>
        <v>-10108.278000000006</v>
      </c>
      <c r="U91" s="151">
        <f t="shared" si="70"/>
        <v>77.537159999999986</v>
      </c>
      <c r="W91" s="153">
        <v>33173.293000000005</v>
      </c>
      <c r="X91" s="94">
        <f t="shared" si="65"/>
        <v>1718.4289999999892</v>
      </c>
      <c r="Y91" s="151">
        <f t="shared" si="66"/>
        <v>105.18015802651848</v>
      </c>
    </row>
    <row r="92" spans="1:26" s="45" customFormat="1" ht="60" x14ac:dyDescent="0.3">
      <c r="A92" s="12" t="s">
        <v>193</v>
      </c>
      <c r="B92" s="34" t="s">
        <v>190</v>
      </c>
      <c r="C92" s="167" t="s">
        <v>117</v>
      </c>
      <c r="D92" s="153">
        <v>0</v>
      </c>
      <c r="E92" s="153">
        <v>0</v>
      </c>
      <c r="F92" s="153">
        <f t="shared" si="58"/>
        <v>0</v>
      </c>
      <c r="G92" s="153">
        <v>0</v>
      </c>
      <c r="H92" s="153">
        <v>0</v>
      </c>
      <c r="I92" s="153">
        <v>0</v>
      </c>
      <c r="J92" s="153">
        <v>0</v>
      </c>
      <c r="K92" s="153">
        <v>0</v>
      </c>
      <c r="L92" s="153">
        <v>0</v>
      </c>
      <c r="M92" s="153">
        <v>0</v>
      </c>
      <c r="N92" s="153">
        <v>0</v>
      </c>
      <c r="O92" s="151"/>
      <c r="P92" s="153">
        <v>0</v>
      </c>
      <c r="Q92" s="94">
        <f t="shared" si="61"/>
        <v>0</v>
      </c>
      <c r="R92" s="151"/>
      <c r="S92" s="94">
        <f>E92/12*6</f>
        <v>0</v>
      </c>
      <c r="T92" s="94">
        <f t="shared" si="63"/>
        <v>0</v>
      </c>
      <c r="U92" s="151"/>
      <c r="W92" s="153">
        <v>200</v>
      </c>
      <c r="X92" s="94">
        <f t="shared" si="65"/>
        <v>-200</v>
      </c>
      <c r="Y92" s="151"/>
    </row>
    <row r="93" spans="1:26" s="43" customFormat="1" ht="34.5" customHeight="1" x14ac:dyDescent="0.3">
      <c r="A93" s="171">
        <v>7</v>
      </c>
      <c r="B93" s="92" t="s">
        <v>11</v>
      </c>
      <c r="C93" s="132" t="s">
        <v>23</v>
      </c>
      <c r="D93" s="152">
        <v>6000</v>
      </c>
      <c r="E93" s="152">
        <v>6000</v>
      </c>
      <c r="F93" s="146">
        <f t="shared" si="58"/>
        <v>5730.2719999999999</v>
      </c>
      <c r="G93" s="146">
        <v>431.85300000000001</v>
      </c>
      <c r="H93" s="146">
        <v>403.06599999999997</v>
      </c>
      <c r="I93" s="146">
        <v>337.41399999999999</v>
      </c>
      <c r="J93" s="146">
        <v>348.38400000000001</v>
      </c>
      <c r="K93" s="146">
        <v>273.77199999999999</v>
      </c>
      <c r="L93" s="146">
        <v>1847.547</v>
      </c>
      <c r="M93" s="146">
        <v>967.10500000000002</v>
      </c>
      <c r="N93" s="146">
        <v>1121.1310000000001</v>
      </c>
      <c r="O93" s="149">
        <f>F93/E93*100</f>
        <v>95.504533333333328</v>
      </c>
      <c r="P93" s="147">
        <v>5677.8</v>
      </c>
      <c r="Q93" s="148">
        <f t="shared" si="61"/>
        <v>52.471999999999753</v>
      </c>
      <c r="R93" s="149">
        <f>F93/P93*100</f>
        <v>100.92416076649407</v>
      </c>
      <c r="S93" s="148">
        <f>E93/12*8</f>
        <v>4000</v>
      </c>
      <c r="T93" s="148">
        <f t="shared" si="63"/>
        <v>1730.2719999999999</v>
      </c>
      <c r="U93" s="149">
        <f>F93/S93*100</f>
        <v>143.2568</v>
      </c>
      <c r="W93" s="146">
        <v>5169.4580000000005</v>
      </c>
      <c r="X93" s="148">
        <f t="shared" si="65"/>
        <v>560.8139999999994</v>
      </c>
      <c r="Y93" s="149">
        <f>F93/W93*100</f>
        <v>110.84860347061529</v>
      </c>
    </row>
    <row r="94" spans="1:26" s="38" customFormat="1" ht="36" customHeight="1" x14ac:dyDescent="0.3">
      <c r="A94" s="36"/>
      <c r="B94" s="63" t="s">
        <v>164</v>
      </c>
      <c r="C94" s="37"/>
      <c r="D94" s="137">
        <f>D80+D83+D85+D86+D88+D89+D90+D91+D93+D84</f>
        <v>168893.098</v>
      </c>
      <c r="E94" s="137">
        <f>E80+E83+E85+E86+E88+E89+E90+E91+E93+E84</f>
        <v>177318.098</v>
      </c>
      <c r="F94" s="137">
        <f t="shared" si="58"/>
        <v>108224.079</v>
      </c>
      <c r="G94" s="137">
        <f t="shared" ref="G94:N94" si="75">G80+G83+G85+G86+G88+G89+G90+G91+G93+G84</f>
        <v>13052.776</v>
      </c>
      <c r="H94" s="137">
        <f t="shared" si="75"/>
        <v>11009.893</v>
      </c>
      <c r="I94" s="137">
        <f t="shared" si="75"/>
        <v>17081.435000000001</v>
      </c>
      <c r="J94" s="137">
        <f t="shared" si="75"/>
        <v>11273.431999999999</v>
      </c>
      <c r="K94" s="137">
        <f t="shared" ref="K94:M94" si="76">K80+K83+K85+K86+K88+K89+K90+K91+K93+K84</f>
        <v>10795.981</v>
      </c>
      <c r="L94" s="137">
        <f t="shared" si="76"/>
        <v>19595.115999999998</v>
      </c>
      <c r="M94" s="137">
        <f t="shared" si="76"/>
        <v>7688.4280000000008</v>
      </c>
      <c r="N94" s="137">
        <f t="shared" si="75"/>
        <v>17727.018</v>
      </c>
      <c r="O94" s="65">
        <f>F94/E94*100</f>
        <v>61.033859612006438</v>
      </c>
      <c r="P94" s="137">
        <f>P80+P83+P85+P86+P88+P89+P90+P91+P93+P84</f>
        <v>111453.97199999999</v>
      </c>
      <c r="Q94" s="64">
        <f t="shared" si="61"/>
        <v>-3229.8929999999964</v>
      </c>
      <c r="R94" s="65">
        <f>F94/P94*100</f>
        <v>97.102038678352358</v>
      </c>
      <c r="S94" s="64">
        <f>S80+S83+S85+S86+S88+S89+S90+S91+S93+S84</f>
        <v>118212.06533333335</v>
      </c>
      <c r="T94" s="64">
        <f t="shared" si="63"/>
        <v>-9987.9863333333487</v>
      </c>
      <c r="U94" s="65">
        <f>F94/S94*100</f>
        <v>91.550789418009643</v>
      </c>
      <c r="W94" s="137">
        <f>W80+W83+W85+W86+W88+W89+W90+W91+W93+W84</f>
        <v>98252.847999999998</v>
      </c>
      <c r="X94" s="64">
        <f t="shared" si="65"/>
        <v>9971.2309999999998</v>
      </c>
      <c r="Y94" s="65">
        <f>F94/W94*100</f>
        <v>110.14854144482406</v>
      </c>
    </row>
    <row r="95" spans="1:26" s="48" customFormat="1" ht="22.5" x14ac:dyDescent="0.3">
      <c r="A95" s="47"/>
      <c r="B95" s="103"/>
      <c r="C95" s="40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69"/>
      <c r="P95" s="138"/>
      <c r="Q95" s="68"/>
      <c r="R95" s="69"/>
      <c r="S95" s="68"/>
      <c r="T95" s="68"/>
      <c r="U95" s="69"/>
      <c r="W95" s="138"/>
      <c r="X95" s="68"/>
      <c r="Y95" s="69"/>
    </row>
    <row r="96" spans="1:26" s="133" customFormat="1" ht="97.5" x14ac:dyDescent="0.25">
      <c r="A96" s="171">
        <v>1</v>
      </c>
      <c r="B96" s="139" t="s">
        <v>139</v>
      </c>
      <c r="C96" s="132" t="s">
        <v>72</v>
      </c>
      <c r="D96" s="152">
        <v>120420</v>
      </c>
      <c r="E96" s="152">
        <v>120420</v>
      </c>
      <c r="F96" s="152">
        <f t="shared" si="58"/>
        <v>3858.3</v>
      </c>
      <c r="G96" s="152">
        <v>0</v>
      </c>
      <c r="H96" s="152">
        <v>0</v>
      </c>
      <c r="I96" s="152">
        <v>1530.3</v>
      </c>
      <c r="J96" s="152">
        <v>0</v>
      </c>
      <c r="K96" s="152">
        <v>2328</v>
      </c>
      <c r="L96" s="152">
        <v>0</v>
      </c>
      <c r="M96" s="152">
        <v>0</v>
      </c>
      <c r="N96" s="152">
        <v>0</v>
      </c>
      <c r="O96" s="135">
        <f>F96/E96*100</f>
        <v>3.2040358744394619</v>
      </c>
      <c r="P96" s="152">
        <v>120420</v>
      </c>
      <c r="Q96" s="148">
        <f>F96-P96</f>
        <v>-116561.7</v>
      </c>
      <c r="R96" s="135">
        <f t="shared" ref="R96:R100" si="77">F96/P96*100</f>
        <v>3.2040358744394619</v>
      </c>
      <c r="S96" s="152">
        <f>P96</f>
        <v>120420</v>
      </c>
      <c r="T96" s="148">
        <f>F96-S96</f>
        <v>-116561.7</v>
      </c>
      <c r="U96" s="135">
        <f>F96/S96*100</f>
        <v>3.2040358744394619</v>
      </c>
      <c r="W96" s="152">
        <v>60691.870999999999</v>
      </c>
      <c r="X96" s="148">
        <f>F96-W96</f>
        <v>-56833.570999999996</v>
      </c>
      <c r="Y96" s="149">
        <f>F96/W96*100</f>
        <v>6.357194030152737</v>
      </c>
    </row>
    <row r="97" spans="1:27" s="133" customFormat="1" ht="97.5" x14ac:dyDescent="0.25">
      <c r="A97" s="171">
        <f>A96+1</f>
        <v>2</v>
      </c>
      <c r="B97" s="139" t="s">
        <v>191</v>
      </c>
      <c r="C97" s="132" t="s">
        <v>192</v>
      </c>
      <c r="D97" s="152">
        <v>0</v>
      </c>
      <c r="E97" s="152">
        <v>50000</v>
      </c>
      <c r="F97" s="152">
        <f t="shared" si="58"/>
        <v>13508.708000000001</v>
      </c>
      <c r="G97" s="152">
        <v>0</v>
      </c>
      <c r="H97" s="152">
        <v>0</v>
      </c>
      <c r="I97" s="152">
        <v>0</v>
      </c>
      <c r="J97" s="152">
        <v>0</v>
      </c>
      <c r="K97" s="152">
        <v>0</v>
      </c>
      <c r="L97" s="152">
        <v>0</v>
      </c>
      <c r="M97" s="152">
        <v>0</v>
      </c>
      <c r="N97" s="152">
        <v>13508.708000000001</v>
      </c>
      <c r="O97" s="135">
        <f>F97/E97*100</f>
        <v>27.017416000000001</v>
      </c>
      <c r="P97" s="152">
        <v>50000</v>
      </c>
      <c r="Q97" s="148">
        <f>F97-P97</f>
        <v>-36491.292000000001</v>
      </c>
      <c r="R97" s="135">
        <f t="shared" si="77"/>
        <v>27.017416000000001</v>
      </c>
      <c r="S97" s="152">
        <f>P97</f>
        <v>50000</v>
      </c>
      <c r="T97" s="148">
        <f>F97-S97</f>
        <v>-36491.292000000001</v>
      </c>
      <c r="U97" s="135">
        <f t="shared" ref="U97:U100" si="78">F97/S97*100</f>
        <v>27.017416000000001</v>
      </c>
      <c r="W97" s="152">
        <v>18825.361000000001</v>
      </c>
      <c r="X97" s="148">
        <f>F97-W97</f>
        <v>-5316.6530000000002</v>
      </c>
      <c r="Y97" s="149">
        <f>F97/W97*100</f>
        <v>71.75802896953742</v>
      </c>
    </row>
    <row r="98" spans="1:27" s="133" customFormat="1" ht="58.5" x14ac:dyDescent="0.25">
      <c r="A98" s="171">
        <f>A97+1</f>
        <v>3</v>
      </c>
      <c r="B98" s="160" t="s">
        <v>175</v>
      </c>
      <c r="C98" s="132" t="s">
        <v>117</v>
      </c>
      <c r="D98" s="152">
        <v>0</v>
      </c>
      <c r="E98" s="152">
        <f>E99+E100</f>
        <v>13000</v>
      </c>
      <c r="F98" s="152">
        <f t="shared" si="58"/>
        <v>0</v>
      </c>
      <c r="G98" s="152">
        <v>0</v>
      </c>
      <c r="H98" s="152">
        <v>0</v>
      </c>
      <c r="I98" s="152">
        <v>0</v>
      </c>
      <c r="J98" s="152">
        <v>0</v>
      </c>
      <c r="K98" s="152">
        <v>0</v>
      </c>
      <c r="L98" s="152">
        <v>0</v>
      </c>
      <c r="M98" s="152">
        <v>0</v>
      </c>
      <c r="N98" s="152">
        <v>0</v>
      </c>
      <c r="O98" s="135">
        <f>F98/E98*100</f>
        <v>0</v>
      </c>
      <c r="P98" s="152">
        <v>13000</v>
      </c>
      <c r="Q98" s="148">
        <f>F98-P98</f>
        <v>-13000</v>
      </c>
      <c r="R98" s="135">
        <f t="shared" si="77"/>
        <v>0</v>
      </c>
      <c r="S98" s="152">
        <f>P98</f>
        <v>13000</v>
      </c>
      <c r="T98" s="148">
        <f>F98-S98</f>
        <v>-13000</v>
      </c>
      <c r="U98" s="135">
        <f t="shared" si="78"/>
        <v>0</v>
      </c>
      <c r="W98" s="152">
        <v>0</v>
      </c>
      <c r="X98" s="148">
        <f>F98-W98</f>
        <v>0</v>
      </c>
      <c r="Y98" s="149"/>
    </row>
    <row r="99" spans="1:27" s="6" customFormat="1" ht="63.75" customHeight="1" x14ac:dyDescent="0.25">
      <c r="A99" s="134" t="s">
        <v>111</v>
      </c>
      <c r="B99" s="176" t="s">
        <v>208</v>
      </c>
      <c r="C99" s="15"/>
      <c r="D99" s="153">
        <v>0</v>
      </c>
      <c r="E99" s="153">
        <v>3000</v>
      </c>
      <c r="F99" s="153">
        <f t="shared" si="58"/>
        <v>0</v>
      </c>
      <c r="G99" s="153">
        <v>0</v>
      </c>
      <c r="H99" s="153">
        <v>0</v>
      </c>
      <c r="I99" s="153">
        <v>0</v>
      </c>
      <c r="J99" s="153">
        <v>0</v>
      </c>
      <c r="K99" s="153">
        <v>0</v>
      </c>
      <c r="L99" s="153">
        <v>0</v>
      </c>
      <c r="M99" s="153">
        <v>0</v>
      </c>
      <c r="N99" s="153">
        <v>0</v>
      </c>
      <c r="O99" s="177">
        <f>F99/E99*100</f>
        <v>0</v>
      </c>
      <c r="P99" s="153">
        <v>3000</v>
      </c>
      <c r="Q99" s="94">
        <f>F99-P99</f>
        <v>-3000</v>
      </c>
      <c r="R99" s="177">
        <f t="shared" si="77"/>
        <v>0</v>
      </c>
      <c r="S99" s="153">
        <f t="shared" ref="S99:S100" si="79">P99</f>
        <v>3000</v>
      </c>
      <c r="T99" s="94">
        <f t="shared" ref="T99:T100" si="80">F99-S99</f>
        <v>-3000</v>
      </c>
      <c r="U99" s="177">
        <f t="shared" si="78"/>
        <v>0</v>
      </c>
      <c r="W99" s="153">
        <v>0</v>
      </c>
      <c r="X99" s="94">
        <f t="shared" ref="X99:X100" si="81">F99-W99</f>
        <v>0</v>
      </c>
      <c r="Y99" s="151"/>
    </row>
    <row r="100" spans="1:27" s="6" customFormat="1" ht="32.25" customHeight="1" x14ac:dyDescent="0.25">
      <c r="A100" s="134" t="s">
        <v>112</v>
      </c>
      <c r="B100" s="176" t="s">
        <v>209</v>
      </c>
      <c r="C100" s="15"/>
      <c r="D100" s="153">
        <v>0</v>
      </c>
      <c r="E100" s="153">
        <v>10000</v>
      </c>
      <c r="F100" s="153">
        <f t="shared" si="58"/>
        <v>0</v>
      </c>
      <c r="G100" s="153">
        <v>0</v>
      </c>
      <c r="H100" s="153">
        <v>0</v>
      </c>
      <c r="I100" s="153">
        <v>0</v>
      </c>
      <c r="J100" s="153">
        <v>0</v>
      </c>
      <c r="K100" s="153">
        <v>0</v>
      </c>
      <c r="L100" s="153">
        <v>0</v>
      </c>
      <c r="M100" s="153">
        <v>0</v>
      </c>
      <c r="N100" s="153">
        <v>0</v>
      </c>
      <c r="O100" s="177">
        <f>F100/E100*100</f>
        <v>0</v>
      </c>
      <c r="P100" s="153">
        <v>10000</v>
      </c>
      <c r="Q100" s="94">
        <f>F100-P100</f>
        <v>-10000</v>
      </c>
      <c r="R100" s="177">
        <f t="shared" si="77"/>
        <v>0</v>
      </c>
      <c r="S100" s="153">
        <f t="shared" si="79"/>
        <v>10000</v>
      </c>
      <c r="T100" s="94">
        <f t="shared" si="80"/>
        <v>-10000</v>
      </c>
      <c r="U100" s="177">
        <f t="shared" si="78"/>
        <v>0</v>
      </c>
      <c r="W100" s="153">
        <v>0</v>
      </c>
      <c r="X100" s="94">
        <f t="shared" si="81"/>
        <v>0</v>
      </c>
      <c r="Y100" s="151"/>
    </row>
    <row r="101" spans="1:27" s="27" customFormat="1" ht="22.5" x14ac:dyDescent="0.25">
      <c r="A101" s="26"/>
      <c r="B101" s="70"/>
      <c r="C101" s="19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69"/>
      <c r="P101" s="138"/>
      <c r="Q101" s="68"/>
      <c r="R101" s="69"/>
      <c r="S101" s="68"/>
      <c r="T101" s="68"/>
      <c r="U101" s="69"/>
      <c r="W101" s="138"/>
      <c r="X101" s="68"/>
      <c r="Y101" s="69"/>
    </row>
    <row r="102" spans="1:27" s="41" customFormat="1" ht="36" customHeight="1" x14ac:dyDescent="0.3">
      <c r="A102" s="39"/>
      <c r="B102" s="42" t="s">
        <v>28</v>
      </c>
      <c r="C102" s="40"/>
      <c r="D102" s="138">
        <f>D103+D104</f>
        <v>120420</v>
      </c>
      <c r="E102" s="138">
        <f>E103+E104</f>
        <v>183420</v>
      </c>
      <c r="F102" s="138">
        <f t="shared" si="58"/>
        <v>17367.008000000002</v>
      </c>
      <c r="G102" s="138">
        <f t="shared" ref="G102:P102" si="82">G103+G104</f>
        <v>0</v>
      </c>
      <c r="H102" s="138">
        <f t="shared" si="82"/>
        <v>0</v>
      </c>
      <c r="I102" s="138">
        <f t="shared" si="82"/>
        <v>1530.3</v>
      </c>
      <c r="J102" s="138">
        <f t="shared" si="82"/>
        <v>0</v>
      </c>
      <c r="K102" s="138">
        <f t="shared" ref="K102:M102" si="83">K103+K104</f>
        <v>2328</v>
      </c>
      <c r="L102" s="138">
        <f t="shared" si="83"/>
        <v>0</v>
      </c>
      <c r="M102" s="138">
        <f t="shared" si="83"/>
        <v>0</v>
      </c>
      <c r="N102" s="138">
        <f t="shared" si="82"/>
        <v>13508.708000000001</v>
      </c>
      <c r="O102" s="69">
        <f>F102/E102*100</f>
        <v>9.4684374659252004</v>
      </c>
      <c r="P102" s="138">
        <f t="shared" si="82"/>
        <v>183420</v>
      </c>
      <c r="Q102" s="68">
        <f>F102-P102</f>
        <v>-166052.992</v>
      </c>
      <c r="R102" s="69">
        <f>F102/P102*100</f>
        <v>9.4684374659252004</v>
      </c>
      <c r="S102" s="138">
        <f>S103+S104</f>
        <v>120420</v>
      </c>
      <c r="T102" s="68">
        <f>F102-S102</f>
        <v>-103052.992</v>
      </c>
      <c r="U102" s="69">
        <f>F102/S102*100</f>
        <v>14.422029563195485</v>
      </c>
      <c r="W102" s="138">
        <f t="shared" ref="W102" si="84">W103+W104</f>
        <v>79717.232000000004</v>
      </c>
      <c r="X102" s="68">
        <f>F102-W102</f>
        <v>-62350.224000000002</v>
      </c>
      <c r="Y102" s="69">
        <f>F102/W102*100</f>
        <v>21.785763961297601</v>
      </c>
    </row>
    <row r="103" spans="1:27" s="6" customFormat="1" ht="23.25" hidden="1" x14ac:dyDescent="0.25">
      <c r="A103" s="12"/>
      <c r="B103" s="15" t="s">
        <v>107</v>
      </c>
      <c r="C103" s="15"/>
      <c r="D103" s="153">
        <f>D96</f>
        <v>120420</v>
      </c>
      <c r="E103" s="153">
        <f>E96</f>
        <v>120420</v>
      </c>
      <c r="F103" s="153">
        <f t="shared" si="58"/>
        <v>3858.3</v>
      </c>
      <c r="G103" s="153">
        <f t="shared" ref="G103:P103" si="85">G96</f>
        <v>0</v>
      </c>
      <c r="H103" s="153">
        <f t="shared" si="85"/>
        <v>0</v>
      </c>
      <c r="I103" s="153">
        <f t="shared" si="85"/>
        <v>1530.3</v>
      </c>
      <c r="J103" s="153">
        <f t="shared" si="85"/>
        <v>0</v>
      </c>
      <c r="K103" s="153">
        <f t="shared" ref="K103:M103" si="86">K96</f>
        <v>2328</v>
      </c>
      <c r="L103" s="153">
        <f t="shared" si="86"/>
        <v>0</v>
      </c>
      <c r="M103" s="153">
        <f t="shared" si="86"/>
        <v>0</v>
      </c>
      <c r="N103" s="153">
        <f t="shared" si="85"/>
        <v>0</v>
      </c>
      <c r="O103" s="151">
        <f>F103/E103*100</f>
        <v>3.2040358744394619</v>
      </c>
      <c r="P103" s="153">
        <f t="shared" si="85"/>
        <v>120420</v>
      </c>
      <c r="Q103" s="94">
        <f>F103-P103</f>
        <v>-116561.7</v>
      </c>
      <c r="R103" s="151">
        <f t="shared" ref="R103:R104" si="87">F103/P103*100</f>
        <v>3.2040358744394619</v>
      </c>
      <c r="S103" s="153">
        <f>S96</f>
        <v>120420</v>
      </c>
      <c r="T103" s="94">
        <f>F103-S103</f>
        <v>-116561.7</v>
      </c>
      <c r="U103" s="151">
        <f>F103/S103*100</f>
        <v>3.2040358744394619</v>
      </c>
      <c r="W103" s="153">
        <f>W96</f>
        <v>60691.870999999999</v>
      </c>
      <c r="X103" s="94">
        <f>F103-W103</f>
        <v>-56833.570999999996</v>
      </c>
      <c r="Y103" s="151">
        <f>F103/W103*100</f>
        <v>6.357194030152737</v>
      </c>
    </row>
    <row r="104" spans="1:27" s="6" customFormat="1" ht="23.25" hidden="1" x14ac:dyDescent="0.25">
      <c r="A104" s="12"/>
      <c r="B104" s="129" t="s">
        <v>106</v>
      </c>
      <c r="C104" s="15"/>
      <c r="D104" s="153">
        <f>D98</f>
        <v>0</v>
      </c>
      <c r="E104" s="153">
        <f>E98+E97</f>
        <v>63000</v>
      </c>
      <c r="F104" s="153">
        <f t="shared" si="58"/>
        <v>13508.708000000001</v>
      </c>
      <c r="G104" s="153">
        <f>G98+G97</f>
        <v>0</v>
      </c>
      <c r="H104" s="153">
        <f t="shared" ref="H104:P104" si="88">H98+H97</f>
        <v>0</v>
      </c>
      <c r="I104" s="153">
        <f t="shared" si="88"/>
        <v>0</v>
      </c>
      <c r="J104" s="153">
        <f t="shared" si="88"/>
        <v>0</v>
      </c>
      <c r="K104" s="153">
        <f t="shared" si="88"/>
        <v>0</v>
      </c>
      <c r="L104" s="153">
        <f t="shared" si="88"/>
        <v>0</v>
      </c>
      <c r="M104" s="153">
        <f t="shared" ref="M104" si="89">M98+M97</f>
        <v>0</v>
      </c>
      <c r="N104" s="153">
        <f t="shared" si="88"/>
        <v>13508.708000000001</v>
      </c>
      <c r="O104" s="151">
        <f>F104/E104*100</f>
        <v>21.442393650793651</v>
      </c>
      <c r="P104" s="153">
        <f t="shared" si="88"/>
        <v>63000</v>
      </c>
      <c r="Q104" s="94">
        <f>F104-P104</f>
        <v>-49491.292000000001</v>
      </c>
      <c r="R104" s="151">
        <f t="shared" si="87"/>
        <v>21.442393650793651</v>
      </c>
      <c r="S104" s="153">
        <v>0</v>
      </c>
      <c r="T104" s="94">
        <f>F104-S104</f>
        <v>13508.708000000001</v>
      </c>
      <c r="U104" s="151"/>
      <c r="W104" s="153">
        <f>W97+W98+W92</f>
        <v>19025.361000000001</v>
      </c>
      <c r="X104" s="94">
        <f>F104-W104</f>
        <v>-5516.6530000000002</v>
      </c>
      <c r="Y104" s="151">
        <f>F104/W104*100</f>
        <v>71.003688182316225</v>
      </c>
    </row>
    <row r="105" spans="1:27" s="8" customFormat="1" ht="23.25" x14ac:dyDescent="0.25">
      <c r="A105" s="171"/>
      <c r="B105" s="31"/>
      <c r="C105" s="132"/>
      <c r="D105" s="152"/>
      <c r="E105" s="152"/>
      <c r="F105" s="155"/>
      <c r="G105" s="155"/>
      <c r="H105" s="155"/>
      <c r="I105" s="155"/>
      <c r="J105" s="155"/>
      <c r="K105" s="155"/>
      <c r="L105" s="155"/>
      <c r="M105" s="155"/>
      <c r="N105" s="155"/>
      <c r="O105" s="149"/>
      <c r="P105" s="152"/>
      <c r="Q105" s="148"/>
      <c r="R105" s="149"/>
      <c r="S105" s="152"/>
      <c r="T105" s="148"/>
      <c r="U105" s="149"/>
      <c r="W105" s="155"/>
      <c r="X105" s="148"/>
      <c r="Y105" s="149"/>
    </row>
    <row r="106" spans="1:27" s="112" customFormat="1" ht="32.25" customHeight="1" x14ac:dyDescent="0.3">
      <c r="A106" s="105"/>
      <c r="B106" s="106" t="s">
        <v>41</v>
      </c>
      <c r="C106" s="113"/>
      <c r="D106" s="108">
        <f>D94+D102</f>
        <v>289313.098</v>
      </c>
      <c r="E106" s="108">
        <f>E94+E102</f>
        <v>360738.098</v>
      </c>
      <c r="F106" s="108">
        <f t="shared" si="58"/>
        <v>125591.087</v>
      </c>
      <c r="G106" s="108">
        <f t="shared" ref="G106:N106" si="90">G94+G102</f>
        <v>13052.776</v>
      </c>
      <c r="H106" s="108">
        <f t="shared" si="90"/>
        <v>11009.893</v>
      </c>
      <c r="I106" s="108">
        <f t="shared" si="90"/>
        <v>18611.735000000001</v>
      </c>
      <c r="J106" s="108">
        <f t="shared" si="90"/>
        <v>11273.431999999999</v>
      </c>
      <c r="K106" s="108">
        <f t="shared" si="90"/>
        <v>13123.981</v>
      </c>
      <c r="L106" s="108">
        <f t="shared" si="90"/>
        <v>19595.115999999998</v>
      </c>
      <c r="M106" s="108">
        <f t="shared" si="90"/>
        <v>7688.4280000000008</v>
      </c>
      <c r="N106" s="108">
        <f t="shared" si="90"/>
        <v>31235.726000000002</v>
      </c>
      <c r="O106" s="110">
        <f>F106/E106*100</f>
        <v>34.815032760969984</v>
      </c>
      <c r="P106" s="108">
        <f>P94+P102</f>
        <v>294873.97200000001</v>
      </c>
      <c r="Q106" s="109">
        <f>F106-P106</f>
        <v>-169282.88500000001</v>
      </c>
      <c r="R106" s="110">
        <f>F106/P106*100</f>
        <v>42.591445473525894</v>
      </c>
      <c r="S106" s="108">
        <f>S94+S102</f>
        <v>238632.06533333333</v>
      </c>
      <c r="T106" s="109">
        <f>F106-S106</f>
        <v>-113040.97833333333</v>
      </c>
      <c r="U106" s="110">
        <f>F106/S106*100</f>
        <v>52.629593941856903</v>
      </c>
      <c r="W106" s="108">
        <f>W94+W102</f>
        <v>177970.08000000002</v>
      </c>
      <c r="X106" s="109">
        <f>F106-W106</f>
        <v>-52378.993000000017</v>
      </c>
      <c r="Y106" s="110">
        <f>F106/W106*100</f>
        <v>70.568652326278652</v>
      </c>
      <c r="Z106" s="112">
        <v>177970.08</v>
      </c>
      <c r="AA106" s="111">
        <f>Z106-W106</f>
        <v>0</v>
      </c>
    </row>
    <row r="107" spans="1:27" s="11" customFormat="1" ht="25.5" customHeight="1" x14ac:dyDescent="0.25">
      <c r="A107" s="183" t="s">
        <v>40</v>
      </c>
      <c r="B107" s="184"/>
      <c r="C107" s="184"/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5"/>
    </row>
    <row r="108" spans="1:27" s="119" customFormat="1" ht="33" customHeight="1" x14ac:dyDescent="0.3">
      <c r="A108" s="121"/>
      <c r="B108" s="114" t="s">
        <v>165</v>
      </c>
      <c r="C108" s="115"/>
      <c r="D108" s="116">
        <f>D47+D94</f>
        <v>3920514.4869999997</v>
      </c>
      <c r="E108" s="116">
        <f>E47+E94</f>
        <v>3928939.4869999997</v>
      </c>
      <c r="F108" s="116">
        <f t="shared" ref="F108:F115" si="91">SUM(G108:N108)</f>
        <v>2474828.8029999998</v>
      </c>
      <c r="G108" s="116">
        <f t="shared" ref="G108:N108" si="92">G47+G94</f>
        <v>250348.01899999997</v>
      </c>
      <c r="H108" s="116">
        <f t="shared" si="92"/>
        <v>316324.92499999999</v>
      </c>
      <c r="I108" s="116">
        <f t="shared" si="92"/>
        <v>293871.63500000001</v>
      </c>
      <c r="J108" s="116">
        <f t="shared" si="92"/>
        <v>321819.16699999996</v>
      </c>
      <c r="K108" s="116">
        <f t="shared" si="92"/>
        <v>319289.49</v>
      </c>
      <c r="L108" s="116">
        <f t="shared" si="92"/>
        <v>314075.54199999996</v>
      </c>
      <c r="M108" s="116">
        <f t="shared" si="92"/>
        <v>331080.71700000006</v>
      </c>
      <c r="N108" s="116">
        <f t="shared" si="92"/>
        <v>328019.30800000002</v>
      </c>
      <c r="O108" s="118">
        <f>F108/E108*100</f>
        <v>62.989740900532219</v>
      </c>
      <c r="P108" s="116">
        <f>P47+P94</f>
        <v>2364763.1500000004</v>
      </c>
      <c r="Q108" s="117">
        <f>F108-P108</f>
        <v>110065.65299999947</v>
      </c>
      <c r="R108" s="118">
        <f>F108/P108*100</f>
        <v>104.65440494537475</v>
      </c>
      <c r="S108" s="116">
        <f>S47+S94</f>
        <v>2619292.9913333328</v>
      </c>
      <c r="T108" s="117">
        <f>F108-S108</f>
        <v>-144464.188333333</v>
      </c>
      <c r="U108" s="118">
        <f>F108/S108*100</f>
        <v>94.48461135079836</v>
      </c>
      <c r="W108" s="116">
        <f>W47+W94</f>
        <v>2141581.1690000007</v>
      </c>
      <c r="X108" s="117">
        <f>F108-W108</f>
        <v>333247.63399999915</v>
      </c>
      <c r="Y108" s="118">
        <f>F108/W108*100</f>
        <v>115.56082201430671</v>
      </c>
    </row>
    <row r="109" spans="1:27" s="119" customFormat="1" ht="23.25" x14ac:dyDescent="0.3">
      <c r="A109" s="121"/>
      <c r="B109" s="114"/>
      <c r="C109" s="115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8"/>
      <c r="P109" s="116"/>
      <c r="Q109" s="117"/>
      <c r="R109" s="118"/>
      <c r="S109" s="116"/>
      <c r="T109" s="117"/>
      <c r="U109" s="118"/>
      <c r="W109" s="116"/>
      <c r="X109" s="117"/>
      <c r="Y109" s="118"/>
    </row>
    <row r="110" spans="1:27" s="41" customFormat="1" ht="30" customHeight="1" x14ac:dyDescent="0.3">
      <c r="A110" s="39"/>
      <c r="B110" s="42" t="s">
        <v>28</v>
      </c>
      <c r="C110" s="40"/>
      <c r="D110" s="138">
        <f>D71+D102</f>
        <v>864542.80200000003</v>
      </c>
      <c r="E110" s="138">
        <f>E71+E102</f>
        <v>957001.29200000002</v>
      </c>
      <c r="F110" s="138">
        <f t="shared" si="91"/>
        <v>527921.29799999995</v>
      </c>
      <c r="G110" s="138">
        <f t="shared" ref="G110:N110" si="93">G71+G102</f>
        <v>46907.102000000006</v>
      </c>
      <c r="H110" s="138">
        <f t="shared" si="93"/>
        <v>54592.909</v>
      </c>
      <c r="I110" s="138">
        <f t="shared" si="93"/>
        <v>58734.604000000007</v>
      </c>
      <c r="J110" s="138">
        <f t="shared" si="93"/>
        <v>57797.366999999998</v>
      </c>
      <c r="K110" s="138">
        <f t="shared" si="93"/>
        <v>81686.313000000009</v>
      </c>
      <c r="L110" s="138">
        <f t="shared" si="93"/>
        <v>145334.226</v>
      </c>
      <c r="M110" s="138">
        <f t="shared" si="93"/>
        <v>28903.632999999998</v>
      </c>
      <c r="N110" s="138">
        <f t="shared" si="93"/>
        <v>53965.144</v>
      </c>
      <c r="O110" s="69">
        <f>F110/E110*100</f>
        <v>55.164115494213974</v>
      </c>
      <c r="P110" s="138">
        <f>P71+P102</f>
        <v>694915.4</v>
      </c>
      <c r="Q110" s="68">
        <f>F110-P110</f>
        <v>-166994.10200000007</v>
      </c>
      <c r="R110" s="69">
        <f>F110/P110*100</f>
        <v>75.969146460130247</v>
      </c>
      <c r="S110" s="138">
        <f>S71+S102</f>
        <v>624612.97399999993</v>
      </c>
      <c r="T110" s="68">
        <f>F110-S110</f>
        <v>-96691.675999999978</v>
      </c>
      <c r="U110" s="69">
        <f>F110/S110*100</f>
        <v>84.519745822634803</v>
      </c>
      <c r="W110" s="138">
        <f>W71+W102</f>
        <v>575631.74099999992</v>
      </c>
      <c r="X110" s="68">
        <f>F110-W110</f>
        <v>-47710.44299999997</v>
      </c>
      <c r="Y110" s="69">
        <f>F110/W110*100</f>
        <v>91.711637909835147</v>
      </c>
    </row>
    <row r="111" spans="1:27" s="41" customFormat="1" ht="22.5" hidden="1" x14ac:dyDescent="0.3">
      <c r="A111" s="122"/>
      <c r="B111" s="42" t="s">
        <v>73</v>
      </c>
      <c r="C111" s="40"/>
      <c r="D111" s="138">
        <f t="shared" ref="D111:E111" si="94">D112+D113</f>
        <v>864542.80200000003</v>
      </c>
      <c r="E111" s="138">
        <f t="shared" si="94"/>
        <v>957001.29200000002</v>
      </c>
      <c r="F111" s="138">
        <f t="shared" si="91"/>
        <v>527921.29799999995</v>
      </c>
      <c r="G111" s="138">
        <f t="shared" ref="G111:P111" si="95">G112+G113</f>
        <v>46907.102000000006</v>
      </c>
      <c r="H111" s="138">
        <f t="shared" ref="H111" si="96">H112+H113</f>
        <v>54592.909</v>
      </c>
      <c r="I111" s="138">
        <f t="shared" ref="I111:N111" si="97">I112+I113</f>
        <v>58734.604000000007</v>
      </c>
      <c r="J111" s="138">
        <f t="shared" ref="J111:M111" si="98">J112+J113</f>
        <v>57797.366999999998</v>
      </c>
      <c r="K111" s="138">
        <f t="shared" si="98"/>
        <v>81686.313000000009</v>
      </c>
      <c r="L111" s="138">
        <f t="shared" si="98"/>
        <v>145334.226</v>
      </c>
      <c r="M111" s="138">
        <f t="shared" si="98"/>
        <v>28903.632999999998</v>
      </c>
      <c r="N111" s="138">
        <f t="shared" si="97"/>
        <v>53965.144</v>
      </c>
      <c r="O111" s="69">
        <f>F111/E111*100</f>
        <v>55.164115494213974</v>
      </c>
      <c r="P111" s="138">
        <f t="shared" si="95"/>
        <v>694915.39999999991</v>
      </c>
      <c r="Q111" s="68">
        <f>F111-P111</f>
        <v>-166994.10199999996</v>
      </c>
      <c r="R111" s="69">
        <f>F111/P111*100</f>
        <v>75.969146460130261</v>
      </c>
      <c r="S111" s="138">
        <f t="shared" ref="S111" si="99">S112+S113</f>
        <v>624612.97399999993</v>
      </c>
      <c r="T111" s="68">
        <f>F111-S111</f>
        <v>-96691.675999999978</v>
      </c>
      <c r="U111" s="69">
        <f>F111/S111*100</f>
        <v>84.519745822634803</v>
      </c>
      <c r="W111" s="138">
        <f t="shared" ref="W111" si="100">W112+W113</f>
        <v>563420.94099999999</v>
      </c>
      <c r="X111" s="68">
        <f>F111-W111</f>
        <v>-35499.64300000004</v>
      </c>
      <c r="Y111" s="69">
        <f>F111/W111*100</f>
        <v>93.699268093054428</v>
      </c>
    </row>
    <row r="112" spans="1:27" s="125" customFormat="1" ht="23.25" hidden="1" x14ac:dyDescent="0.35">
      <c r="A112" s="123"/>
      <c r="B112" s="124" t="s">
        <v>107</v>
      </c>
      <c r="C112" s="124"/>
      <c r="D112" s="153">
        <f>D75+D103</f>
        <v>838223.4</v>
      </c>
      <c r="E112" s="153">
        <f>E75+E103</f>
        <v>848223.4</v>
      </c>
      <c r="F112" s="153">
        <f t="shared" si="91"/>
        <v>481230.5</v>
      </c>
      <c r="G112" s="153">
        <f t="shared" ref="G112:N112" si="101">G75+G103</f>
        <v>44804.3</v>
      </c>
      <c r="H112" s="153">
        <f t="shared" si="101"/>
        <v>52312.800000000003</v>
      </c>
      <c r="I112" s="153">
        <f t="shared" si="101"/>
        <v>56011.100000000006</v>
      </c>
      <c r="J112" s="153">
        <f t="shared" si="101"/>
        <v>55203.4</v>
      </c>
      <c r="K112" s="153">
        <f t="shared" si="101"/>
        <v>76945.8</v>
      </c>
      <c r="L112" s="153">
        <f t="shared" si="101"/>
        <v>139119.6</v>
      </c>
      <c r="M112" s="153">
        <f t="shared" si="101"/>
        <v>26610.1</v>
      </c>
      <c r="N112" s="153">
        <f t="shared" si="101"/>
        <v>30223.4</v>
      </c>
      <c r="O112" s="151">
        <f>F112/E112*100</f>
        <v>56.733933536848902</v>
      </c>
      <c r="P112" s="153">
        <f>P75+P103</f>
        <v>597792.19999999995</v>
      </c>
      <c r="Q112" s="94">
        <f>F112-P112</f>
        <v>-116561.69999999995</v>
      </c>
      <c r="R112" s="151">
        <f>F112/P112*100</f>
        <v>80.501301288307218</v>
      </c>
      <c r="S112" s="153">
        <f>S75+S103</f>
        <v>597792.19999999995</v>
      </c>
      <c r="T112" s="94">
        <f>F112-S112</f>
        <v>-116561.69999999995</v>
      </c>
      <c r="U112" s="151">
        <f>F112/S112*100</f>
        <v>80.501301288307218</v>
      </c>
      <c r="W112" s="153">
        <f>W75+W103</f>
        <v>504976.07099999994</v>
      </c>
      <c r="X112" s="94">
        <f>F112-W112</f>
        <v>-23745.570999999938</v>
      </c>
      <c r="Y112" s="151">
        <f>F112/W112*100</f>
        <v>95.297683917383097</v>
      </c>
    </row>
    <row r="113" spans="1:27" s="125" customFormat="1" ht="23.25" hidden="1" x14ac:dyDescent="0.35">
      <c r="A113" s="123"/>
      <c r="B113" s="124" t="s">
        <v>106</v>
      </c>
      <c r="C113" s="124"/>
      <c r="D113" s="153">
        <f>D104+D76</f>
        <v>26319.402000000002</v>
      </c>
      <c r="E113" s="153">
        <f>E104+E76</f>
        <v>108777.89199999999</v>
      </c>
      <c r="F113" s="153">
        <f t="shared" si="91"/>
        <v>46690.797999999995</v>
      </c>
      <c r="G113" s="153">
        <f t="shared" ref="G113:N113" si="102">G104+G76</f>
        <v>2102.8020000000001</v>
      </c>
      <c r="H113" s="153">
        <f t="shared" si="102"/>
        <v>2280.1089999999999</v>
      </c>
      <c r="I113" s="153">
        <f t="shared" si="102"/>
        <v>2723.5039999999999</v>
      </c>
      <c r="J113" s="153">
        <f t="shared" si="102"/>
        <v>2593.9670000000001</v>
      </c>
      <c r="K113" s="153">
        <f t="shared" si="102"/>
        <v>4740.5129999999999</v>
      </c>
      <c r="L113" s="153">
        <f t="shared" si="102"/>
        <v>6214.6260000000002</v>
      </c>
      <c r="M113" s="153">
        <f t="shared" si="102"/>
        <v>2293.5329999999999</v>
      </c>
      <c r="N113" s="153">
        <f t="shared" si="102"/>
        <v>23741.743999999999</v>
      </c>
      <c r="O113" s="151">
        <f>F113/E113*100</f>
        <v>42.923058299383108</v>
      </c>
      <c r="P113" s="153">
        <f>P104+P76</f>
        <v>97123.199999999997</v>
      </c>
      <c r="Q113" s="94">
        <f>F113-P113</f>
        <v>-50432.402000000002</v>
      </c>
      <c r="R113" s="151">
        <f>F113/P113*100</f>
        <v>48.073784636420541</v>
      </c>
      <c r="S113" s="153">
        <f>S104+S76</f>
        <v>26820.773999999998</v>
      </c>
      <c r="T113" s="94">
        <f>F113-S113</f>
        <v>19870.023999999998</v>
      </c>
      <c r="U113" s="151">
        <f>F113/S113*100</f>
        <v>174.08445408771573</v>
      </c>
      <c r="W113" s="153">
        <f>W104+W76</f>
        <v>58444.87000000001</v>
      </c>
      <c r="X113" s="94">
        <f>F113-W113</f>
        <v>-11754.072000000015</v>
      </c>
      <c r="Y113" s="151">
        <f>F113/W113*100</f>
        <v>79.888616400378666</v>
      </c>
    </row>
    <row r="114" spans="1:27" s="6" customFormat="1" ht="23.25" x14ac:dyDescent="0.25">
      <c r="A114" s="20"/>
      <c r="B114" s="34"/>
      <c r="C114" s="15"/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1"/>
      <c r="P114" s="153"/>
      <c r="Q114" s="94"/>
      <c r="R114" s="151"/>
      <c r="S114" s="153"/>
      <c r="T114" s="94"/>
      <c r="U114" s="151"/>
      <c r="W114" s="153"/>
      <c r="X114" s="94"/>
      <c r="Y114" s="151"/>
    </row>
    <row r="115" spans="1:27" s="112" customFormat="1" ht="57.75" customHeight="1" x14ac:dyDescent="0.3">
      <c r="A115" s="120"/>
      <c r="B115" s="106" t="s">
        <v>156</v>
      </c>
      <c r="C115" s="113"/>
      <c r="D115" s="108">
        <f>D108+D110</f>
        <v>4785057.2889999999</v>
      </c>
      <c r="E115" s="108">
        <f>E108+E110</f>
        <v>4885940.7790000001</v>
      </c>
      <c r="F115" s="108">
        <f t="shared" si="91"/>
        <v>3002750.1009999998</v>
      </c>
      <c r="G115" s="108">
        <f t="shared" ref="G115:N115" si="103">G108+G110</f>
        <v>297255.12099999998</v>
      </c>
      <c r="H115" s="108">
        <f t="shared" si="103"/>
        <v>370917.83399999997</v>
      </c>
      <c r="I115" s="108">
        <f t="shared" si="103"/>
        <v>352606.239</v>
      </c>
      <c r="J115" s="108">
        <f t="shared" si="103"/>
        <v>379616.53399999999</v>
      </c>
      <c r="K115" s="108">
        <f t="shared" si="103"/>
        <v>400975.80300000001</v>
      </c>
      <c r="L115" s="108">
        <f t="shared" si="103"/>
        <v>459409.76799999992</v>
      </c>
      <c r="M115" s="108">
        <f t="shared" si="103"/>
        <v>359984.35000000003</v>
      </c>
      <c r="N115" s="108">
        <f t="shared" si="103"/>
        <v>381984.45200000005</v>
      </c>
      <c r="O115" s="110">
        <f>F115/E115*100</f>
        <v>61.456948350785559</v>
      </c>
      <c r="P115" s="108">
        <f>P108+P110</f>
        <v>3059678.5500000003</v>
      </c>
      <c r="Q115" s="109">
        <f>F115-P115</f>
        <v>-56928.449000000488</v>
      </c>
      <c r="R115" s="110">
        <f>F115/P115*100</f>
        <v>98.139397715488755</v>
      </c>
      <c r="S115" s="108">
        <f>S106+S78</f>
        <v>3243905.9653333328</v>
      </c>
      <c r="T115" s="109">
        <f>F115-S115</f>
        <v>-241155.86433333298</v>
      </c>
      <c r="U115" s="110">
        <f>F115/S115*100</f>
        <v>92.565879932695509</v>
      </c>
      <c r="W115" s="108">
        <f>W106+W78</f>
        <v>2717212.9100000006</v>
      </c>
      <c r="X115" s="109">
        <f>F115-W115</f>
        <v>285537.19099999918</v>
      </c>
      <c r="Y115" s="110">
        <f>F115/W115*100</f>
        <v>110.50845849985305</v>
      </c>
      <c r="Z115" s="108">
        <v>2717212.9099999997</v>
      </c>
      <c r="AA115" s="108">
        <f>Z115-W115</f>
        <v>0</v>
      </c>
    </row>
    <row r="116" spans="1:27" s="13" customFormat="1" ht="20.25" hidden="1" x14ac:dyDescent="0.3">
      <c r="A116" s="28"/>
      <c r="B116" s="29"/>
      <c r="C116" s="30"/>
      <c r="D116" s="30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72"/>
      <c r="P116" s="163"/>
      <c r="Q116" s="71"/>
      <c r="R116" s="72"/>
      <c r="S116" s="163"/>
      <c r="T116" s="71"/>
      <c r="U116" s="72"/>
      <c r="W116" s="163"/>
      <c r="X116" s="71"/>
      <c r="Y116" s="72"/>
    </row>
    <row r="117" spans="1:27" s="13" customFormat="1" ht="30" hidden="1" x14ac:dyDescent="0.4">
      <c r="A117" s="28"/>
      <c r="B117" s="136" t="s">
        <v>94</v>
      </c>
      <c r="C117" s="136"/>
      <c r="D117" s="136"/>
      <c r="E117" s="136"/>
      <c r="F117" s="136" t="s">
        <v>95</v>
      </c>
      <c r="G117" s="136"/>
      <c r="H117" s="136"/>
      <c r="I117" s="136"/>
      <c r="J117" s="136"/>
      <c r="K117" s="136"/>
      <c r="L117" s="136"/>
      <c r="M117" s="136"/>
      <c r="N117" s="136"/>
      <c r="O117" s="72"/>
      <c r="P117" s="163"/>
      <c r="Q117" s="71"/>
      <c r="R117" s="72"/>
      <c r="S117" s="163"/>
      <c r="T117" s="71"/>
      <c r="U117" s="72"/>
      <c r="W117" s="136"/>
      <c r="X117" s="71"/>
      <c r="Y117" s="72"/>
    </row>
    <row r="118" spans="1:27" s="6" customFormat="1" ht="30.75" hidden="1" x14ac:dyDescent="0.45">
      <c r="A118" s="4"/>
      <c r="B118" s="23" t="s">
        <v>52</v>
      </c>
      <c r="C118" s="16"/>
      <c r="D118" s="16"/>
      <c r="E118" s="16"/>
      <c r="F118" s="164"/>
      <c r="G118" s="164"/>
      <c r="H118" s="164"/>
      <c r="I118" s="164"/>
      <c r="J118" s="164"/>
      <c r="K118" s="164"/>
      <c r="L118" s="164"/>
      <c r="M118" s="164"/>
      <c r="N118" s="164"/>
      <c r="O118" s="74"/>
      <c r="P118" s="5"/>
      <c r="Q118" s="73"/>
      <c r="R118" s="74"/>
      <c r="S118" s="5"/>
      <c r="T118" s="73"/>
      <c r="U118" s="74"/>
      <c r="W118" s="164"/>
      <c r="X118" s="73"/>
      <c r="Y118" s="74"/>
    </row>
    <row r="119" spans="1:27" s="6" customFormat="1" ht="30.75" hidden="1" x14ac:dyDescent="0.45">
      <c r="A119" s="4"/>
      <c r="B119" s="16"/>
      <c r="C119" s="16"/>
      <c r="D119" s="16"/>
      <c r="E119" s="98"/>
      <c r="F119" s="164"/>
      <c r="G119" s="164"/>
      <c r="H119" s="164"/>
      <c r="I119" s="164"/>
      <c r="J119" s="164"/>
      <c r="K119" s="164"/>
      <c r="L119" s="164"/>
      <c r="M119" s="164"/>
      <c r="N119" s="164"/>
      <c r="O119" s="74"/>
      <c r="P119" s="5"/>
      <c r="Q119" s="73"/>
      <c r="R119" s="74"/>
      <c r="S119" s="5"/>
      <c r="T119" s="73"/>
      <c r="U119" s="74"/>
      <c r="W119" s="164"/>
      <c r="X119" s="73"/>
      <c r="Y119" s="74"/>
    </row>
    <row r="120" spans="1:27" s="2" customFormat="1" ht="30.75" hidden="1" x14ac:dyDescent="0.45">
      <c r="A120" s="21"/>
      <c r="B120" s="16"/>
      <c r="C120" s="16"/>
      <c r="D120" s="145">
        <v>4785057.2889999999</v>
      </c>
      <c r="E120" s="145">
        <v>4885940.7790000001</v>
      </c>
      <c r="F120" s="145">
        <v>3002750.1009999998</v>
      </c>
      <c r="G120" s="145">
        <v>297255.12099999998</v>
      </c>
      <c r="H120" s="145">
        <v>370917.83299999998</v>
      </c>
      <c r="I120" s="145">
        <v>352606.24</v>
      </c>
      <c r="J120" s="145">
        <v>379616.53399999999</v>
      </c>
      <c r="K120" s="145">
        <v>400975.80300000001</v>
      </c>
      <c r="L120" s="145">
        <v>459409.76799999998</v>
      </c>
      <c r="M120" s="145">
        <v>359984.35</v>
      </c>
      <c r="N120" s="145">
        <v>381984.45199999999</v>
      </c>
      <c r="O120" s="3"/>
      <c r="P120" s="145">
        <v>3059678.55</v>
      </c>
      <c r="Q120" s="3"/>
      <c r="R120" s="3"/>
      <c r="S120" s="136"/>
      <c r="T120" s="3"/>
      <c r="U120" s="3"/>
      <c r="W120" s="145"/>
      <c r="X120" s="3"/>
    </row>
    <row r="121" spans="1:27" ht="30.75" hidden="1" x14ac:dyDescent="0.45">
      <c r="B121" s="23"/>
      <c r="C121" s="164"/>
      <c r="D121" s="164"/>
      <c r="E121" s="164"/>
      <c r="F121" s="164"/>
      <c r="W121" s="164"/>
    </row>
    <row r="122" spans="1:27" s="165" customFormat="1" ht="30.75" hidden="1" x14ac:dyDescent="0.45">
      <c r="A122" s="22"/>
      <c r="B122" s="16"/>
      <c r="C122" s="16"/>
      <c r="D122" s="16"/>
      <c r="E122" s="16"/>
      <c r="F122" s="164"/>
      <c r="O122" s="168"/>
      <c r="Q122" s="168"/>
      <c r="R122" s="168"/>
      <c r="S122" s="168"/>
      <c r="T122" s="168"/>
      <c r="U122" s="168"/>
      <c r="W122" s="164"/>
      <c r="X122" s="168"/>
    </row>
    <row r="123" spans="1:27" s="165" customFormat="1" ht="30.75" hidden="1" x14ac:dyDescent="0.45">
      <c r="A123" s="22"/>
      <c r="B123" s="16"/>
      <c r="C123" s="16"/>
      <c r="D123" s="16"/>
      <c r="E123" s="16"/>
      <c r="F123" s="164"/>
      <c r="O123" s="168"/>
      <c r="Q123" s="168"/>
      <c r="R123" s="168"/>
      <c r="S123" s="168"/>
      <c r="T123" s="168"/>
      <c r="U123" s="168"/>
      <c r="W123" s="164"/>
      <c r="X123" s="168"/>
    </row>
    <row r="124" spans="1:27" s="165" customFormat="1" ht="30.75" hidden="1" x14ac:dyDescent="0.45">
      <c r="A124" s="22"/>
      <c r="B124" s="23"/>
      <c r="C124" s="164"/>
      <c r="D124" s="164"/>
      <c r="E124" s="164"/>
      <c r="F124" s="164"/>
      <c r="O124" s="168"/>
      <c r="Q124" s="168"/>
      <c r="R124" s="168"/>
      <c r="S124" s="168"/>
      <c r="T124" s="168"/>
      <c r="U124" s="168"/>
      <c r="W124" s="164"/>
      <c r="X124" s="168"/>
    </row>
    <row r="125" spans="1:27" ht="18.75" hidden="1" x14ac:dyDescent="0.3">
      <c r="B125" s="21"/>
      <c r="D125" s="145">
        <f t="shared" ref="D125:N125" si="104">D120-D115</f>
        <v>0</v>
      </c>
      <c r="E125" s="145">
        <f t="shared" si="104"/>
        <v>0</v>
      </c>
      <c r="F125" s="145">
        <f t="shared" si="104"/>
        <v>0</v>
      </c>
      <c r="G125" s="145">
        <f t="shared" si="104"/>
        <v>0</v>
      </c>
      <c r="H125" s="145">
        <f t="shared" si="104"/>
        <v>-9.9999998928979039E-4</v>
      </c>
      <c r="I125" s="145">
        <f t="shared" si="104"/>
        <v>9.9999998928979039E-4</v>
      </c>
      <c r="J125" s="145">
        <f t="shared" si="104"/>
        <v>0</v>
      </c>
      <c r="K125" s="145">
        <f t="shared" si="104"/>
        <v>0</v>
      </c>
      <c r="L125" s="145">
        <f t="shared" si="104"/>
        <v>0</v>
      </c>
      <c r="M125" s="145">
        <f t="shared" si="104"/>
        <v>0</v>
      </c>
      <c r="N125" s="145">
        <f t="shared" si="104"/>
        <v>0</v>
      </c>
      <c r="P125" s="145">
        <f>P120-P115</f>
        <v>0</v>
      </c>
      <c r="Q125" s="188" t="s">
        <v>49</v>
      </c>
      <c r="R125" s="188"/>
      <c r="S125" s="76">
        <f>E47/12*8</f>
        <v>2501080.9259999995</v>
      </c>
      <c r="W125" s="145"/>
    </row>
    <row r="126" spans="1:27" ht="18.75" hidden="1" x14ac:dyDescent="0.3">
      <c r="B126" s="21"/>
      <c r="P126" s="91"/>
      <c r="Q126" s="168"/>
      <c r="R126" s="168"/>
      <c r="S126" s="76">
        <f>S125-S47</f>
        <v>0</v>
      </c>
    </row>
    <row r="127" spans="1:27" ht="18.75" hidden="1" x14ac:dyDescent="0.3">
      <c r="B127" s="2"/>
      <c r="C127" s="161"/>
      <c r="D127" s="161"/>
      <c r="E127" s="90">
        <v>4809905.6789999995</v>
      </c>
      <c r="F127" s="90">
        <v>1801371.531</v>
      </c>
      <c r="Q127" s="188" t="s">
        <v>50</v>
      </c>
      <c r="R127" s="188"/>
      <c r="S127" s="75">
        <f>E94/12*8</f>
        <v>118212.06533333333</v>
      </c>
      <c r="W127" s="90"/>
    </row>
    <row r="128" spans="1:27" ht="18.75" hidden="1" x14ac:dyDescent="0.3">
      <c r="B128" s="2"/>
      <c r="C128" s="161"/>
      <c r="D128" s="161"/>
      <c r="E128" s="90">
        <f>E127-E115</f>
        <v>-76035.100000000559</v>
      </c>
      <c r="F128" s="90">
        <f>F127-F115</f>
        <v>-1201378.5699999998</v>
      </c>
      <c r="Q128" s="168"/>
      <c r="R128" s="168"/>
      <c r="S128" s="76">
        <f>S127-S94</f>
        <v>0</v>
      </c>
    </row>
    <row r="129" spans="2:50" ht="22.5" hidden="1" x14ac:dyDescent="0.3">
      <c r="B129" s="2"/>
      <c r="C129" s="161"/>
      <c r="D129" s="161"/>
      <c r="E129" s="99"/>
      <c r="F129" s="99"/>
      <c r="Q129" s="188" t="s">
        <v>51</v>
      </c>
      <c r="R129" s="188"/>
      <c r="S129" s="76">
        <f>S127+S102</f>
        <v>238632.06533333333</v>
      </c>
      <c r="W129" s="99"/>
    </row>
    <row r="130" spans="2:50" ht="18.75" hidden="1" x14ac:dyDescent="0.3">
      <c r="B130" s="2"/>
      <c r="C130" s="161"/>
      <c r="D130" s="161"/>
      <c r="E130" s="161"/>
      <c r="Q130" s="168"/>
      <c r="R130" s="168"/>
      <c r="S130" s="76">
        <f>S129-S106</f>
        <v>0</v>
      </c>
    </row>
    <row r="131" spans="2:50" ht="18.75" hidden="1" x14ac:dyDescent="0.3">
      <c r="B131" s="2"/>
      <c r="C131" s="161"/>
      <c r="D131" s="161"/>
      <c r="E131" s="161"/>
    </row>
    <row r="132" spans="2:50" ht="18.75" hidden="1" x14ac:dyDescent="0.3">
      <c r="B132" s="100"/>
      <c r="C132" s="161"/>
      <c r="D132" s="161"/>
      <c r="E132" s="161"/>
    </row>
    <row r="133" spans="2:50" ht="18.75" hidden="1" x14ac:dyDescent="0.3">
      <c r="B133" s="2"/>
      <c r="C133" s="161"/>
      <c r="D133" s="161"/>
      <c r="E133" s="161"/>
    </row>
    <row r="134" spans="2:50" s="17" customFormat="1" ht="18.75" x14ac:dyDescent="0.3">
      <c r="B134" s="2"/>
      <c r="C134" s="161"/>
      <c r="D134" s="161"/>
      <c r="E134" s="161"/>
      <c r="F134" s="161"/>
      <c r="G134" s="161"/>
      <c r="H134" s="161"/>
      <c r="I134" s="161"/>
      <c r="J134" s="161"/>
      <c r="K134" s="161"/>
      <c r="L134" s="161"/>
      <c r="M134" s="161"/>
      <c r="N134" s="161"/>
      <c r="O134" s="1"/>
      <c r="P134" s="161"/>
      <c r="Q134" s="1"/>
      <c r="R134" s="1"/>
      <c r="S134" s="1"/>
      <c r="T134" s="1"/>
      <c r="U134" s="1"/>
      <c r="W134" s="161"/>
      <c r="X134" s="1"/>
      <c r="Y134" s="161"/>
      <c r="Z134" s="161"/>
      <c r="AA134" s="161"/>
      <c r="AB134" s="161"/>
      <c r="AC134" s="161"/>
      <c r="AD134" s="161"/>
      <c r="AE134" s="161"/>
      <c r="AF134" s="161"/>
      <c r="AG134" s="161"/>
      <c r="AH134" s="161"/>
      <c r="AI134" s="161"/>
      <c r="AJ134" s="161"/>
      <c r="AK134" s="161"/>
      <c r="AL134" s="161"/>
      <c r="AM134" s="161"/>
      <c r="AN134" s="161"/>
      <c r="AO134" s="161"/>
      <c r="AP134" s="161"/>
      <c r="AQ134" s="161"/>
      <c r="AR134" s="161"/>
      <c r="AS134" s="161"/>
      <c r="AT134" s="161"/>
      <c r="AU134" s="161"/>
      <c r="AV134" s="161"/>
      <c r="AW134" s="161"/>
      <c r="AX134" s="161"/>
    </row>
    <row r="135" spans="2:50" s="17" customFormat="1" ht="18.75" x14ac:dyDescent="0.3">
      <c r="B135" s="2"/>
      <c r="C135" s="161"/>
      <c r="D135" s="161"/>
      <c r="E135" s="90"/>
      <c r="F135" s="90"/>
      <c r="G135" s="161"/>
      <c r="H135" s="161"/>
      <c r="I135" s="161"/>
      <c r="J135" s="161"/>
      <c r="K135" s="161"/>
      <c r="L135" s="161"/>
      <c r="M135" s="161"/>
      <c r="N135" s="161"/>
      <c r="O135" s="1"/>
      <c r="P135" s="161"/>
      <c r="Q135" s="1"/>
      <c r="R135" s="1"/>
      <c r="S135" s="1"/>
      <c r="T135" s="1"/>
      <c r="U135" s="1"/>
      <c r="W135" s="90"/>
      <c r="X135" s="1"/>
      <c r="Y135" s="161"/>
      <c r="Z135" s="161"/>
      <c r="AA135" s="161"/>
      <c r="AB135" s="161"/>
      <c r="AC135" s="161"/>
      <c r="AD135" s="161"/>
      <c r="AE135" s="161"/>
      <c r="AF135" s="161"/>
      <c r="AG135" s="161"/>
      <c r="AH135" s="161"/>
      <c r="AI135" s="161"/>
      <c r="AJ135" s="161"/>
      <c r="AK135" s="161"/>
      <c r="AL135" s="161"/>
      <c r="AM135" s="161"/>
      <c r="AN135" s="161"/>
      <c r="AO135" s="161"/>
      <c r="AP135" s="161"/>
      <c r="AQ135" s="161"/>
      <c r="AR135" s="161"/>
      <c r="AS135" s="161"/>
      <c r="AT135" s="161"/>
      <c r="AU135" s="161"/>
      <c r="AV135" s="161"/>
      <c r="AW135" s="161"/>
      <c r="AX135" s="161"/>
    </row>
    <row r="136" spans="2:50" s="17" customFormat="1" ht="30" x14ac:dyDescent="0.4">
      <c r="B136" s="136" t="s">
        <v>217</v>
      </c>
      <c r="C136" s="136"/>
      <c r="D136" s="136"/>
      <c r="E136" s="136"/>
      <c r="F136" s="136" t="s">
        <v>218</v>
      </c>
      <c r="G136" s="136"/>
      <c r="H136" s="163"/>
      <c r="I136" s="71"/>
      <c r="J136" s="1"/>
      <c r="K136" s="1"/>
      <c r="L136" s="1"/>
      <c r="M136" s="72"/>
      <c r="N136" s="1"/>
      <c r="O136" s="1"/>
      <c r="P136" s="161"/>
      <c r="Q136" s="1"/>
      <c r="R136" s="1"/>
      <c r="S136" s="1"/>
      <c r="T136" s="1"/>
      <c r="U136" s="1"/>
      <c r="W136" s="161"/>
      <c r="X136" s="1"/>
      <c r="Y136" s="161"/>
      <c r="Z136" s="161"/>
      <c r="AA136" s="161"/>
      <c r="AB136" s="161"/>
      <c r="AC136" s="161"/>
      <c r="AD136" s="161"/>
      <c r="AE136" s="161"/>
      <c r="AF136" s="161"/>
      <c r="AG136" s="161"/>
      <c r="AH136" s="161"/>
      <c r="AI136" s="161"/>
      <c r="AJ136" s="161"/>
      <c r="AK136" s="161"/>
      <c r="AL136" s="161"/>
      <c r="AM136" s="161"/>
      <c r="AN136" s="161"/>
      <c r="AO136" s="161"/>
      <c r="AP136" s="161"/>
      <c r="AQ136" s="161"/>
      <c r="AR136" s="161"/>
      <c r="AS136" s="161"/>
      <c r="AT136" s="161"/>
      <c r="AU136" s="161"/>
      <c r="AV136" s="161"/>
      <c r="AW136" s="161"/>
      <c r="AX136" s="161"/>
    </row>
    <row r="137" spans="2:50" s="17" customFormat="1" ht="30.75" x14ac:dyDescent="0.45">
      <c r="B137" s="23" t="s">
        <v>52</v>
      </c>
      <c r="C137" s="16"/>
      <c r="D137" s="16"/>
      <c r="E137" s="16"/>
      <c r="F137" s="164"/>
      <c r="G137" s="164"/>
      <c r="H137" s="5"/>
      <c r="I137" s="73"/>
      <c r="J137" s="1"/>
      <c r="K137" s="1"/>
      <c r="L137" s="1"/>
      <c r="M137" s="74"/>
      <c r="N137" s="1"/>
      <c r="O137" s="1"/>
      <c r="P137" s="161"/>
      <c r="Q137" s="1"/>
      <c r="R137" s="1"/>
      <c r="S137" s="1"/>
      <c r="T137" s="1"/>
      <c r="U137" s="1"/>
      <c r="W137" s="161"/>
      <c r="X137" s="1"/>
      <c r="Y137" s="161"/>
      <c r="Z137" s="161"/>
      <c r="AA137" s="161"/>
      <c r="AB137" s="161"/>
      <c r="AC137" s="161"/>
      <c r="AD137" s="161"/>
      <c r="AE137" s="161"/>
      <c r="AF137" s="161"/>
      <c r="AG137" s="161"/>
      <c r="AH137" s="161"/>
      <c r="AI137" s="161"/>
      <c r="AJ137" s="161"/>
      <c r="AK137" s="161"/>
      <c r="AL137" s="161"/>
      <c r="AM137" s="161"/>
      <c r="AN137" s="161"/>
      <c r="AO137" s="161"/>
      <c r="AP137" s="161"/>
      <c r="AQ137" s="161"/>
      <c r="AR137" s="161"/>
      <c r="AS137" s="161"/>
      <c r="AT137" s="161"/>
      <c r="AU137" s="161"/>
      <c r="AV137" s="161"/>
      <c r="AW137" s="161"/>
      <c r="AX137" s="161"/>
    </row>
    <row r="138" spans="2:50" s="17" customFormat="1" ht="22.5" x14ac:dyDescent="0.3">
      <c r="B138" s="2"/>
      <c r="C138" s="161"/>
      <c r="D138" s="99"/>
      <c r="E138" s="161"/>
      <c r="F138" s="161"/>
      <c r="G138" s="161"/>
      <c r="H138" s="161"/>
      <c r="I138" s="161"/>
      <c r="J138" s="161"/>
      <c r="K138" s="161"/>
      <c r="L138" s="161"/>
      <c r="M138" s="161"/>
      <c r="N138" s="161"/>
      <c r="O138" s="1"/>
      <c r="P138" s="161"/>
      <c r="Q138" s="1"/>
      <c r="R138" s="1"/>
      <c r="S138" s="1"/>
      <c r="T138" s="1"/>
      <c r="U138" s="1"/>
      <c r="W138" s="161"/>
      <c r="X138" s="1"/>
      <c r="Y138" s="161"/>
      <c r="Z138" s="161"/>
      <c r="AA138" s="161"/>
      <c r="AB138" s="161"/>
      <c r="AC138" s="161"/>
      <c r="AD138" s="161"/>
      <c r="AE138" s="161"/>
      <c r="AF138" s="161"/>
      <c r="AG138" s="161"/>
      <c r="AH138" s="161"/>
      <c r="AI138" s="161"/>
      <c r="AJ138" s="161"/>
      <c r="AK138" s="161"/>
      <c r="AL138" s="161"/>
      <c r="AM138" s="161"/>
      <c r="AN138" s="161"/>
      <c r="AO138" s="161"/>
      <c r="AP138" s="161"/>
      <c r="AQ138" s="161"/>
      <c r="AR138" s="161"/>
      <c r="AS138" s="161"/>
      <c r="AT138" s="161"/>
      <c r="AU138" s="161"/>
      <c r="AV138" s="161"/>
      <c r="AW138" s="161"/>
      <c r="AX138" s="161"/>
    </row>
    <row r="139" spans="2:50" s="17" customFormat="1" ht="18.75" x14ac:dyDescent="0.3">
      <c r="B139" s="2"/>
      <c r="C139" s="161"/>
      <c r="D139" s="161"/>
      <c r="E139" s="161"/>
      <c r="F139" s="90"/>
      <c r="G139" s="161"/>
      <c r="H139" s="161"/>
      <c r="I139" s="161"/>
      <c r="J139" s="161"/>
      <c r="K139" s="161"/>
      <c r="L139" s="161"/>
      <c r="M139" s="161"/>
      <c r="N139" s="161"/>
      <c r="O139" s="1"/>
      <c r="P139" s="161"/>
      <c r="Q139" s="1"/>
      <c r="R139" s="1"/>
      <c r="S139" s="1"/>
      <c r="T139" s="1"/>
      <c r="U139" s="1"/>
      <c r="W139" s="90"/>
      <c r="X139" s="1"/>
      <c r="Y139" s="161"/>
      <c r="Z139" s="161"/>
      <c r="AA139" s="161"/>
      <c r="AB139" s="161"/>
      <c r="AC139" s="161"/>
      <c r="AD139" s="161"/>
      <c r="AE139" s="161"/>
      <c r="AF139" s="161"/>
      <c r="AG139" s="161"/>
      <c r="AH139" s="161"/>
      <c r="AI139" s="161"/>
      <c r="AJ139" s="161"/>
      <c r="AK139" s="161"/>
      <c r="AL139" s="161"/>
      <c r="AM139" s="161"/>
      <c r="AN139" s="161"/>
      <c r="AO139" s="161"/>
      <c r="AP139" s="161"/>
      <c r="AQ139" s="161"/>
      <c r="AR139" s="161"/>
      <c r="AS139" s="161"/>
      <c r="AT139" s="161"/>
      <c r="AU139" s="161"/>
      <c r="AV139" s="161"/>
      <c r="AW139" s="161"/>
      <c r="AX139" s="161"/>
    </row>
    <row r="140" spans="2:50" s="17" customFormat="1" ht="18.75" x14ac:dyDescent="0.3">
      <c r="B140" s="2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  <c r="M140" s="161"/>
      <c r="N140" s="161"/>
      <c r="O140" s="1"/>
      <c r="P140" s="161"/>
      <c r="Q140" s="1"/>
      <c r="R140" s="1"/>
      <c r="S140" s="1"/>
      <c r="T140" s="1"/>
      <c r="U140" s="1"/>
      <c r="W140" s="161"/>
      <c r="X140" s="1"/>
      <c r="Y140" s="161"/>
      <c r="Z140" s="161"/>
      <c r="AA140" s="161"/>
      <c r="AB140" s="161"/>
      <c r="AC140" s="161"/>
      <c r="AD140" s="161"/>
      <c r="AE140" s="161"/>
      <c r="AF140" s="161"/>
      <c r="AG140" s="161"/>
      <c r="AH140" s="161"/>
      <c r="AI140" s="161"/>
      <c r="AJ140" s="161"/>
      <c r="AK140" s="161"/>
      <c r="AL140" s="161"/>
      <c r="AM140" s="161"/>
      <c r="AN140" s="161"/>
      <c r="AO140" s="161"/>
      <c r="AP140" s="161"/>
      <c r="AQ140" s="161"/>
      <c r="AR140" s="161"/>
      <c r="AS140" s="161"/>
      <c r="AT140" s="161"/>
      <c r="AU140" s="161"/>
      <c r="AV140" s="161"/>
      <c r="AW140" s="161"/>
      <c r="AX140" s="161"/>
    </row>
    <row r="141" spans="2:50" s="17" customFormat="1" ht="18.75" x14ac:dyDescent="0.3">
      <c r="B141" s="2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  <c r="M141" s="161"/>
      <c r="N141" s="161"/>
      <c r="O141" s="1"/>
      <c r="P141" s="161"/>
      <c r="Q141" s="1"/>
      <c r="R141" s="1"/>
      <c r="S141" s="1"/>
      <c r="T141" s="1"/>
      <c r="U141" s="1"/>
      <c r="W141" s="161"/>
      <c r="X141" s="1"/>
      <c r="Y141" s="161"/>
      <c r="Z141" s="161"/>
      <c r="AA141" s="161"/>
      <c r="AB141" s="161"/>
      <c r="AC141" s="161"/>
      <c r="AD141" s="161"/>
      <c r="AE141" s="161"/>
      <c r="AF141" s="161"/>
      <c r="AG141" s="161"/>
      <c r="AH141" s="161"/>
      <c r="AI141" s="161"/>
      <c r="AJ141" s="161"/>
      <c r="AK141" s="161"/>
      <c r="AL141" s="161"/>
      <c r="AM141" s="161"/>
      <c r="AN141" s="161"/>
      <c r="AO141" s="161"/>
      <c r="AP141" s="161"/>
      <c r="AQ141" s="161"/>
      <c r="AR141" s="161"/>
      <c r="AS141" s="161"/>
      <c r="AT141" s="161"/>
      <c r="AU141" s="161"/>
      <c r="AV141" s="161"/>
      <c r="AW141" s="161"/>
      <c r="AX141" s="161"/>
    </row>
    <row r="142" spans="2:50" s="17" customFormat="1" ht="18.75" x14ac:dyDescent="0.3">
      <c r="B142" s="21"/>
      <c r="F142" s="161"/>
      <c r="G142" s="161"/>
      <c r="H142" s="161"/>
      <c r="I142" s="161"/>
      <c r="J142" s="161"/>
      <c r="K142" s="161"/>
      <c r="L142" s="161"/>
      <c r="M142" s="161"/>
      <c r="N142" s="161"/>
      <c r="O142" s="1"/>
      <c r="P142" s="161"/>
      <c r="Q142" s="1"/>
      <c r="R142" s="1"/>
      <c r="S142" s="1"/>
      <c r="T142" s="1"/>
      <c r="U142" s="1"/>
      <c r="W142" s="161"/>
      <c r="X142" s="1"/>
      <c r="Y142" s="161"/>
      <c r="Z142" s="161"/>
      <c r="AA142" s="161"/>
      <c r="AB142" s="161"/>
      <c r="AC142" s="161"/>
      <c r="AD142" s="161"/>
      <c r="AE142" s="161"/>
      <c r="AF142" s="161"/>
      <c r="AG142" s="161"/>
      <c r="AH142" s="161"/>
      <c r="AI142" s="161"/>
      <c r="AJ142" s="161"/>
      <c r="AK142" s="161"/>
      <c r="AL142" s="161"/>
      <c r="AM142" s="161"/>
      <c r="AN142" s="161"/>
      <c r="AO142" s="161"/>
      <c r="AP142" s="161"/>
      <c r="AQ142" s="161"/>
      <c r="AR142" s="161"/>
      <c r="AS142" s="161"/>
      <c r="AT142" s="161"/>
      <c r="AU142" s="161"/>
      <c r="AV142" s="161"/>
      <c r="AW142" s="161"/>
      <c r="AX142" s="161"/>
    </row>
    <row r="143" spans="2:50" s="17" customFormat="1" ht="18.75" x14ac:dyDescent="0.3">
      <c r="B143" s="21"/>
      <c r="F143" s="161"/>
      <c r="G143" s="161"/>
      <c r="H143" s="161"/>
      <c r="I143" s="161"/>
      <c r="J143" s="161"/>
      <c r="K143" s="161"/>
      <c r="L143" s="161"/>
      <c r="M143" s="161"/>
      <c r="N143" s="161"/>
      <c r="O143" s="1"/>
      <c r="P143" s="161"/>
      <c r="Q143" s="1"/>
      <c r="R143" s="1"/>
      <c r="S143" s="1"/>
      <c r="T143" s="1"/>
      <c r="U143" s="1"/>
      <c r="W143" s="161"/>
      <c r="X143" s="1"/>
      <c r="Y143" s="161"/>
      <c r="Z143" s="161"/>
      <c r="AA143" s="161"/>
      <c r="AB143" s="161"/>
      <c r="AC143" s="161"/>
      <c r="AD143" s="161"/>
      <c r="AE143" s="161"/>
      <c r="AF143" s="161"/>
      <c r="AG143" s="161"/>
      <c r="AH143" s="161"/>
      <c r="AI143" s="161"/>
      <c r="AJ143" s="161"/>
      <c r="AK143" s="161"/>
      <c r="AL143" s="161"/>
      <c r="AM143" s="161"/>
      <c r="AN143" s="161"/>
      <c r="AO143" s="161"/>
      <c r="AP143" s="161"/>
      <c r="AQ143" s="161"/>
      <c r="AR143" s="161"/>
      <c r="AS143" s="161"/>
      <c r="AT143" s="161"/>
      <c r="AU143" s="161"/>
      <c r="AV143" s="161"/>
      <c r="AW143" s="161"/>
      <c r="AX143" s="161"/>
    </row>
  </sheetData>
  <mergeCells count="34">
    <mergeCell ref="O3:O4"/>
    <mergeCell ref="A3:A4"/>
    <mergeCell ref="A6:Y6"/>
    <mergeCell ref="Y3:Y4"/>
    <mergeCell ref="P3:P4"/>
    <mergeCell ref="Q3:Q4"/>
    <mergeCell ref="R3:R4"/>
    <mergeCell ref="S3:S4"/>
    <mergeCell ref="T3:T4"/>
    <mergeCell ref="U3:U4"/>
    <mergeCell ref="W3:W4"/>
    <mergeCell ref="X3:X4"/>
    <mergeCell ref="Q127:R127"/>
    <mergeCell ref="Q129:R129"/>
    <mergeCell ref="C19:C21"/>
    <mergeCell ref="A58:A60"/>
    <mergeCell ref="C58:C60"/>
    <mergeCell ref="Q125:R125"/>
    <mergeCell ref="A1:Y1"/>
    <mergeCell ref="A79:Y79"/>
    <mergeCell ref="A107:Y107"/>
    <mergeCell ref="G3:G4"/>
    <mergeCell ref="N3:N4"/>
    <mergeCell ref="B3:B4"/>
    <mergeCell ref="C3:C4"/>
    <mergeCell ref="D3:D4"/>
    <mergeCell ref="E3:E4"/>
    <mergeCell ref="F3:F4"/>
    <mergeCell ref="H3:H4"/>
    <mergeCell ref="I3:I4"/>
    <mergeCell ref="J3:J4"/>
    <mergeCell ref="K3:K4"/>
    <mergeCell ref="L3:L4"/>
    <mergeCell ref="M3:M4"/>
  </mergeCells>
  <printOptions horizontalCentered="1"/>
  <pageMargins left="0.39370078740157483" right="0" top="0" bottom="0" header="0.23622047244094491" footer="0.11811023622047245"/>
  <pageSetup paperSize="8" scale="88" fitToHeight="10" orientation="landscape" horizontalDpi="300" verticalDpi="300" r:id="rId1"/>
  <headerFooter alignWithMargins="0"/>
  <rowBreaks count="1" manualBreakCount="1">
    <brk id="86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2021</vt:lpstr>
      <vt:lpstr>'2021'!Print_Area</vt:lpstr>
      <vt:lpstr>'2021'!Print_Titles</vt:lpstr>
      <vt:lpstr>'2021'!Заголовки_для_печати</vt:lpstr>
      <vt:lpstr>'2021'!Область_печати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Шевчук Наталія Борисівна</cp:lastModifiedBy>
  <cp:lastPrinted>2021-09-01T11:38:56Z</cp:lastPrinted>
  <dcterms:created xsi:type="dcterms:W3CDTF">1996-10-08T23:32:33Z</dcterms:created>
  <dcterms:modified xsi:type="dcterms:W3CDTF">2021-10-04T05:50:28Z</dcterms:modified>
</cp:coreProperties>
</file>